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00277798\AppData\Local\Microsoft\Windows\INetCache\Content.Outlook\7Y6VF9E0\"/>
    </mc:Choice>
  </mc:AlternateContent>
  <bookViews>
    <workbookView xWindow="0" yWindow="0" windowWidth="28800" windowHeight="12300" tabRatio="808"/>
  </bookViews>
  <sheets>
    <sheet name="Facility Site Specific Info." sheetId="7" r:id="rId1"/>
    <sheet name="Type I-II Landfill Closure" sheetId="6" r:id="rId2"/>
    <sheet name="Type I-II Landfill Post-Closure" sheetId="3" r:id="rId3"/>
    <sheet name="Surface Imp. Closure" sheetId="8" r:id="rId4"/>
    <sheet name="Surface Imp. Post-Closure" sheetId="12" r:id="rId5"/>
    <sheet name="Type III Closure" sheetId="9" r:id="rId6"/>
    <sheet name="Type III Post-Closure" sheetId="10" r:id="rId7"/>
    <sheet name="Geology Closure &amp; Post-Closure" sheetId="13" r:id="rId8"/>
    <sheet name="Geology Well Maintenance" sheetId="14" r:id="rId9"/>
    <sheet name="DATA" sheetId="15" r:id="rId10"/>
  </sheets>
  <definedNames>
    <definedName name="_xlnm.Print_Area" localSheetId="0">'Facility Site Specific Info.'!$B$2:$M$101</definedName>
    <definedName name="_xlnm.Print_Area" localSheetId="7">'Geology Closure &amp; Post-Closure'!$A$9:$T$58</definedName>
    <definedName name="_xlnm.Print_Area" localSheetId="3">'Surface Imp. Closure'!$A$1:$H$56</definedName>
    <definedName name="_xlnm.Print_Area" localSheetId="4">'Surface Imp. Post-Closure'!$A$1:$H$25</definedName>
    <definedName name="_xlnm.Print_Area" localSheetId="5">'Type III Closure'!$A$1:$H$48</definedName>
    <definedName name="_xlnm.Print_Area" localSheetId="1">'Type I-II Landfill Closure'!$A$1:$H$63</definedName>
    <definedName name="_xlnm.Print_Area" localSheetId="2">'Type I-II Landfill Post-Closure'!$A$1:$H$40</definedName>
    <definedName name="_xlnm.Print_Area" localSheetId="6">'Type III Post-Closure'!$A$1:$H$27</definedName>
    <definedName name="_xlnm.Print_Titles" localSheetId="2">'Type I-II Landfill Post-Closure'!$12:$13</definedName>
  </definedNames>
  <calcPr calcId="162913"/>
</workbook>
</file>

<file path=xl/calcChain.xml><?xml version="1.0" encoding="utf-8"?>
<calcChain xmlns="http://schemas.openxmlformats.org/spreadsheetml/2006/main">
  <c r="B31" i="13" l="1"/>
  <c r="B48" i="8" l="1"/>
  <c r="D48" i="8" s="1"/>
  <c r="E55" i="13" l="1"/>
  <c r="E54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32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10" i="13"/>
  <c r="B6" i="14" l="1"/>
  <c r="B5" i="14"/>
  <c r="B4" i="14"/>
  <c r="B3" i="14"/>
  <c r="B2" i="14"/>
  <c r="B1" i="14"/>
  <c r="B6" i="13"/>
  <c r="B5" i="13"/>
  <c r="B4" i="13"/>
  <c r="B3" i="13"/>
  <c r="B2" i="13"/>
  <c r="B1" i="13"/>
  <c r="B8" i="9" l="1"/>
  <c r="B36" i="9" l="1"/>
  <c r="B35" i="9"/>
  <c r="B14" i="12" l="1"/>
  <c r="B23" i="3" l="1"/>
  <c r="B24" i="3"/>
  <c r="D28" i="8" l="1"/>
  <c r="D18" i="10" l="1"/>
  <c r="D36" i="9"/>
  <c r="D35" i="9"/>
  <c r="D28" i="9"/>
  <c r="D16" i="10" s="1"/>
  <c r="D21" i="9"/>
  <c r="D31" i="9" s="1"/>
  <c r="D17" i="10" s="1"/>
  <c r="B14" i="9"/>
  <c r="A34" i="7" l="1"/>
  <c r="A35" i="7" s="1"/>
  <c r="A36" i="7" s="1"/>
  <c r="A37" i="7" s="1"/>
  <c r="A38" i="7" s="1"/>
  <c r="A27" i="10"/>
  <c r="A25" i="12"/>
  <c r="A40" i="3"/>
  <c r="B32" i="3"/>
  <c r="B31" i="3"/>
  <c r="D14" i="12" l="1"/>
  <c r="D16" i="12"/>
  <c r="D42" i="8"/>
  <c r="D15" i="12" s="1"/>
  <c r="D37" i="6"/>
  <c r="D22" i="6"/>
  <c r="D40" i="6" s="1"/>
  <c r="D17" i="3" l="1"/>
  <c r="D16" i="3"/>
  <c r="D39" i="15"/>
  <c r="D38" i="15"/>
  <c r="C19" i="15"/>
  <c r="D19" i="15" s="1"/>
  <c r="D20" i="15"/>
  <c r="D21" i="15"/>
  <c r="D23" i="15"/>
  <c r="D22" i="15"/>
  <c r="D34" i="8" l="1"/>
  <c r="D18" i="3"/>
  <c r="A19" i="13" l="1"/>
  <c r="A14" i="13"/>
  <c r="D45" i="6" l="1"/>
  <c r="D44" i="6"/>
  <c r="B24" i="10" l="1"/>
  <c r="B23" i="10"/>
  <c r="B9" i="10"/>
  <c r="B8" i="10"/>
  <c r="B6" i="10"/>
  <c r="B5" i="10"/>
  <c r="B4" i="10"/>
  <c r="B3" i="10"/>
  <c r="B2" i="10"/>
  <c r="B1" i="10"/>
  <c r="B18" i="10" l="1"/>
  <c r="B19" i="10"/>
  <c r="B15" i="10"/>
  <c r="B16" i="10"/>
  <c r="B17" i="10"/>
  <c r="B45" i="9" l="1"/>
  <c r="B44" i="9"/>
  <c r="B41" i="9"/>
  <c r="B9" i="9"/>
  <c r="L36" i="9" s="1"/>
  <c r="B31" i="9" l="1"/>
  <c r="B30" i="9" s="1"/>
  <c r="J36" i="9"/>
  <c r="B32" i="9"/>
  <c r="B27" i="9"/>
  <c r="B28" i="9" s="1"/>
  <c r="A23" i="9"/>
  <c r="C23" i="9"/>
  <c r="B23" i="9"/>
  <c r="D23" i="9" s="1"/>
  <c r="B22" i="9"/>
  <c r="B6" i="9"/>
  <c r="B5" i="9"/>
  <c r="B4" i="9"/>
  <c r="B3" i="9"/>
  <c r="B2" i="9"/>
  <c r="B1" i="9"/>
  <c r="K36" i="9" l="1"/>
  <c r="O36" i="9" s="1"/>
  <c r="B33" i="9" s="1"/>
  <c r="B17" i="9"/>
  <c r="B18" i="9" s="1"/>
  <c r="B21" i="9"/>
  <c r="F23" i="9"/>
  <c r="D14" i="9"/>
  <c r="F14" i="9" s="1"/>
  <c r="B15" i="9"/>
  <c r="B52" i="8"/>
  <c r="B54" i="8" s="1"/>
  <c r="B47" i="8"/>
  <c r="B46" i="8"/>
  <c r="B24" i="8"/>
  <c r="D24" i="8" s="1"/>
  <c r="A24" i="8"/>
  <c r="B23" i="8"/>
  <c r="D23" i="8" s="1"/>
  <c r="A23" i="8"/>
  <c r="B18" i="8"/>
  <c r="B22" i="12"/>
  <c r="B21" i="12"/>
  <c r="B8" i="12"/>
  <c r="B6" i="12"/>
  <c r="B5" i="12"/>
  <c r="B4" i="12"/>
  <c r="B3" i="12"/>
  <c r="B2" i="12"/>
  <c r="B1" i="12"/>
  <c r="B37" i="3"/>
  <c r="B36" i="3"/>
  <c r="B27" i="3"/>
  <c r="B26" i="3"/>
  <c r="B20" i="3"/>
  <c r="B9" i="3"/>
  <c r="M36" i="9" l="1"/>
  <c r="N36" i="9" s="1"/>
  <c r="B15" i="12"/>
  <c r="B16" i="12"/>
  <c r="B17" i="12"/>
  <c r="B20" i="9"/>
  <c r="B53" i="8"/>
  <c r="F23" i="8"/>
  <c r="F24" i="8"/>
  <c r="B13" i="12"/>
  <c r="B8" i="3" l="1"/>
  <c r="B6" i="3"/>
  <c r="B5" i="3"/>
  <c r="B4" i="3"/>
  <c r="B3" i="3"/>
  <c r="B2" i="3"/>
  <c r="B1" i="3"/>
  <c r="D23" i="3" l="1"/>
  <c r="B15" i="3"/>
  <c r="B17" i="3"/>
  <c r="B16" i="3"/>
  <c r="B37" i="9"/>
  <c r="B18" i="3"/>
  <c r="B19" i="3"/>
  <c r="B30" i="3"/>
  <c r="B25" i="3"/>
  <c r="B26" i="13" l="1"/>
  <c r="A76" i="7" l="1"/>
  <c r="A77" i="7" s="1"/>
  <c r="A78" i="7" s="1"/>
  <c r="A79" i="7" s="1"/>
  <c r="A80" i="7" s="1"/>
  <c r="A81" i="7" s="1"/>
  <c r="A51" i="7"/>
  <c r="A52" i="7" s="1"/>
  <c r="A17" i="7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9" i="7" l="1"/>
  <c r="A41" i="7" s="1"/>
  <c r="A42" i="7" s="1"/>
  <c r="A43" i="7" s="1"/>
  <c r="A44" i="7" s="1"/>
  <c r="A45" i="7" s="1"/>
  <c r="A46" i="7" s="1"/>
  <c r="A47" i="7" s="1"/>
  <c r="A53" i="7"/>
  <c r="A54" i="7" s="1"/>
  <c r="A55" i="7" s="1"/>
  <c r="A56" i="7" s="1"/>
  <c r="A57" i="7" s="1"/>
  <c r="A58" i="7" s="1"/>
  <c r="A59" i="7" s="1"/>
  <c r="B9" i="8"/>
  <c r="B8" i="8"/>
  <c r="B45" i="8" l="1"/>
  <c r="B41" i="8"/>
  <c r="B42" i="8" s="1"/>
  <c r="B11" i="8"/>
  <c r="B38" i="8"/>
  <c r="B39" i="8" s="1"/>
  <c r="B35" i="8"/>
  <c r="B34" i="8"/>
  <c r="B33" i="8"/>
  <c r="B32" i="8"/>
  <c r="B13" i="8"/>
  <c r="B36" i="8" l="1"/>
  <c r="B21" i="8"/>
  <c r="B29" i="8"/>
  <c r="B28" i="8"/>
  <c r="B10" i="8"/>
  <c r="B19" i="8" s="1"/>
  <c r="B12" i="8"/>
  <c r="D18" i="14"/>
  <c r="D17" i="14"/>
  <c r="D16" i="14"/>
  <c r="D15" i="14"/>
  <c r="D14" i="14"/>
  <c r="D13" i="14"/>
  <c r="D12" i="14"/>
  <c r="B20" i="8" l="1"/>
  <c r="B27" i="8"/>
  <c r="D48" i="3"/>
  <c r="D45" i="3"/>
  <c r="D47" i="3"/>
  <c r="D46" i="3"/>
  <c r="D15" i="3"/>
  <c r="D30" i="3" l="1"/>
  <c r="B6" i="8"/>
  <c r="B5" i="8"/>
  <c r="B4" i="8"/>
  <c r="B3" i="8"/>
  <c r="B2" i="8"/>
  <c r="B1" i="8"/>
  <c r="B60" i="6"/>
  <c r="B59" i="6"/>
  <c r="B56" i="6"/>
  <c r="B52" i="6" l="1"/>
  <c r="B10" i="6" l="1"/>
  <c r="L44" i="6" s="1"/>
  <c r="C32" i="6"/>
  <c r="A32" i="6"/>
  <c r="B32" i="6"/>
  <c r="D32" i="6" l="1"/>
  <c r="F32" i="6" s="1"/>
  <c r="B24" i="6"/>
  <c r="D24" i="6" l="1"/>
  <c r="F24" i="6" s="1"/>
  <c r="C24" i="6"/>
  <c r="A24" i="6"/>
  <c r="O29" i="13" l="1"/>
  <c r="N18" i="13" s="1"/>
  <c r="F18" i="14"/>
  <c r="F17" i="14"/>
  <c r="F16" i="14"/>
  <c r="F15" i="14"/>
  <c r="F14" i="14"/>
  <c r="F13" i="14"/>
  <c r="F12" i="14"/>
  <c r="F20" i="14" s="1"/>
  <c r="B29" i="13" l="1"/>
  <c r="O18" i="13" s="1"/>
  <c r="P18" i="13" s="1"/>
  <c r="C97" i="7"/>
  <c r="B15" i="6"/>
  <c r="N17" i="13"/>
  <c r="O25" i="13"/>
  <c r="N14" i="13" s="1"/>
  <c r="O26" i="13"/>
  <c r="N15" i="13" s="1"/>
  <c r="O27" i="13"/>
  <c r="N16" i="13" s="1"/>
  <c r="N19" i="13" l="1"/>
  <c r="B17" i="13"/>
  <c r="B18" i="13" s="1"/>
  <c r="K44" i="13"/>
  <c r="H44" i="13"/>
  <c r="E56" i="13"/>
  <c r="B16" i="13" s="1"/>
  <c r="B22" i="13"/>
  <c r="B23" i="13" s="1"/>
  <c r="O16" i="13" s="1"/>
  <c r="P16" i="13" s="1"/>
  <c r="B19" i="13" l="1"/>
  <c r="O15" i="13" s="1"/>
  <c r="B27" i="13"/>
  <c r="O17" i="13" s="1"/>
  <c r="P17" i="13" s="1"/>
  <c r="B12" i="13"/>
  <c r="B13" i="13" l="1"/>
  <c r="B14" i="13" s="1"/>
  <c r="P15" i="13"/>
  <c r="N20" i="13"/>
  <c r="B30" i="13" l="1"/>
  <c r="O20" i="13" s="1"/>
  <c r="P20" i="13" s="1"/>
  <c r="O14" i="13"/>
  <c r="O19" i="13" s="1"/>
  <c r="P14" i="13"/>
  <c r="P19" i="13"/>
  <c r="B9" i="6"/>
  <c r="B8" i="6"/>
  <c r="B6" i="6"/>
  <c r="B5" i="6"/>
  <c r="B4" i="6"/>
  <c r="B3" i="6"/>
  <c r="B2" i="6"/>
  <c r="B1" i="6"/>
  <c r="D13" i="7"/>
  <c r="E48" i="8" s="1"/>
  <c r="F48" i="8" s="1"/>
  <c r="C96" i="7" l="1"/>
  <c r="E31" i="9"/>
  <c r="F31" i="9" s="1"/>
  <c r="D15" i="6"/>
  <c r="F15" i="6" s="1"/>
  <c r="B40" i="6"/>
  <c r="E37" i="6"/>
  <c r="E40" i="6"/>
  <c r="E28" i="9"/>
  <c r="F28" i="9" s="1"/>
  <c r="E18" i="10"/>
  <c r="E17" i="10"/>
  <c r="E19" i="10"/>
  <c r="E16" i="10"/>
  <c r="E15" i="10"/>
  <c r="E35" i="9"/>
  <c r="F35" i="9" s="1"/>
  <c r="E22" i="9"/>
  <c r="F22" i="9" s="1"/>
  <c r="E36" i="9"/>
  <c r="F36" i="9" s="1"/>
  <c r="E20" i="9"/>
  <c r="F20" i="9" s="1"/>
  <c r="E17" i="9"/>
  <c r="F17" i="9" s="1"/>
  <c r="E33" i="9"/>
  <c r="F33" i="9" s="1"/>
  <c r="E21" i="9"/>
  <c r="F21" i="9" s="1"/>
  <c r="E32" i="9"/>
  <c r="F32" i="9" s="1"/>
  <c r="E18" i="9"/>
  <c r="F18" i="9" s="1"/>
  <c r="E30" i="9"/>
  <c r="F30" i="9" s="1"/>
  <c r="E15" i="9"/>
  <c r="F15" i="9" s="1"/>
  <c r="E14" i="9"/>
  <c r="E37" i="9"/>
  <c r="F37" i="9" s="1"/>
  <c r="E27" i="9"/>
  <c r="F27" i="9" s="1"/>
  <c r="E17" i="12"/>
  <c r="F17" i="12" s="1"/>
  <c r="E38" i="8"/>
  <c r="E18" i="8"/>
  <c r="F18" i="8" s="1"/>
  <c r="E19" i="3"/>
  <c r="F19" i="3" s="1"/>
  <c r="E16" i="12"/>
  <c r="F16" i="12" s="1"/>
  <c r="E36" i="8"/>
  <c r="F36" i="8" s="1"/>
  <c r="E32" i="3"/>
  <c r="F32" i="3" s="1"/>
  <c r="E18" i="3"/>
  <c r="F18" i="3" s="1"/>
  <c r="E15" i="12"/>
  <c r="F15" i="12" s="1"/>
  <c r="E35" i="8"/>
  <c r="F35" i="8" s="1"/>
  <c r="E31" i="3"/>
  <c r="F31" i="3" s="1"/>
  <c r="E17" i="3"/>
  <c r="F17" i="3" s="1"/>
  <c r="E34" i="8"/>
  <c r="F34" i="8" s="1"/>
  <c r="E30" i="3"/>
  <c r="F30" i="3" s="1"/>
  <c r="E16" i="3"/>
  <c r="F16" i="3" s="1"/>
  <c r="E13" i="12"/>
  <c r="E33" i="8"/>
  <c r="F33" i="8" s="1"/>
  <c r="E27" i="3"/>
  <c r="F27" i="3" s="1"/>
  <c r="E15" i="3"/>
  <c r="F15" i="3" s="1"/>
  <c r="E32" i="8"/>
  <c r="F32" i="8" s="1"/>
  <c r="E26" i="3"/>
  <c r="F26" i="3" s="1"/>
  <c r="E47" i="8"/>
  <c r="F47" i="8" s="1"/>
  <c r="E28" i="8"/>
  <c r="F28" i="8" s="1"/>
  <c r="E25" i="3"/>
  <c r="F25" i="3" s="1"/>
  <c r="E45" i="8"/>
  <c r="F45" i="8" s="1"/>
  <c r="E21" i="8"/>
  <c r="F21" i="8" s="1"/>
  <c r="E41" i="8"/>
  <c r="E23" i="3"/>
  <c r="F23" i="3" s="1"/>
  <c r="E14" i="12"/>
  <c r="F14" i="12" s="1"/>
  <c r="E29" i="8"/>
  <c r="F29" i="8" s="1"/>
  <c r="E46" i="8"/>
  <c r="F46" i="8" s="1"/>
  <c r="E27" i="8"/>
  <c r="F27" i="8" s="1"/>
  <c r="E42" i="8"/>
  <c r="E24" i="3"/>
  <c r="F24" i="3" s="1"/>
  <c r="E20" i="8"/>
  <c r="F20" i="8" s="1"/>
  <c r="E39" i="8"/>
  <c r="E20" i="3"/>
  <c r="F20" i="3" s="1"/>
  <c r="E19" i="8"/>
  <c r="F19" i="8" s="1"/>
  <c r="J44" i="6"/>
  <c r="K44" i="6" s="1"/>
  <c r="B50" i="6"/>
  <c r="E36" i="6"/>
  <c r="E18" i="6"/>
  <c r="E31" i="6"/>
  <c r="E16" i="6"/>
  <c r="E30" i="6"/>
  <c r="E45" i="6"/>
  <c r="E23" i="6"/>
  <c r="E42" i="6"/>
  <c r="E29" i="6"/>
  <c r="E27" i="6"/>
  <c r="E44" i="6"/>
  <c r="E21" i="6"/>
  <c r="E39" i="6"/>
  <c r="E22" i="6"/>
  <c r="E41" i="6"/>
  <c r="E19" i="6"/>
  <c r="E15" i="6"/>
  <c r="E52" i="6"/>
  <c r="F52" i="6" s="1"/>
  <c r="E50" i="6"/>
  <c r="E28" i="6"/>
  <c r="E46" i="6"/>
  <c r="B46" i="6"/>
  <c r="B36" i="6"/>
  <c r="B37" i="6" s="1"/>
  <c r="B41" i="6"/>
  <c r="B23" i="6"/>
  <c r="B29" i="6"/>
  <c r="B28" i="6"/>
  <c r="B31" i="6"/>
  <c r="B30" i="6" s="1"/>
  <c r="B27" i="6"/>
  <c r="B22" i="6"/>
  <c r="B18" i="6"/>
  <c r="B16" i="6"/>
  <c r="G49" i="8" l="1"/>
  <c r="F37" i="6"/>
  <c r="F30" i="6"/>
  <c r="B39" i="6"/>
  <c r="F40" i="6"/>
  <c r="G24" i="9"/>
  <c r="G38" i="9"/>
  <c r="F50" i="6"/>
  <c r="G53" i="6" s="1"/>
  <c r="F39" i="6"/>
  <c r="F31" i="6"/>
  <c r="F23" i="6"/>
  <c r="F16" i="6"/>
  <c r="F46" i="6"/>
  <c r="F29" i="6"/>
  <c r="B19" i="6"/>
  <c r="F19" i="6" s="1"/>
  <c r="F18" i="6"/>
  <c r="F28" i="6"/>
  <c r="B21" i="6"/>
  <c r="F21" i="6" s="1"/>
  <c r="F22" i="6"/>
  <c r="O44" i="6"/>
  <c r="M44" i="6"/>
  <c r="N44" i="6" s="1"/>
  <c r="B42" i="6" l="1"/>
  <c r="F42" i="6" s="1"/>
  <c r="G39" i="9"/>
  <c r="F44" i="9" s="1"/>
  <c r="B45" i="6"/>
  <c r="F45" i="6" s="1"/>
  <c r="F41" i="9"/>
  <c r="G42" i="9" s="1"/>
  <c r="B44" i="6"/>
  <c r="F45" i="9" l="1"/>
  <c r="G46" i="9"/>
  <c r="G47" i="9"/>
  <c r="C94" i="7" s="1"/>
  <c r="F13" i="12"/>
  <c r="G18" i="12" l="1"/>
  <c r="G19" i="12" s="1"/>
  <c r="F22" i="12" l="1"/>
  <c r="F21" i="12"/>
  <c r="G23" i="12" l="1"/>
  <c r="G24" i="12" s="1"/>
  <c r="G25" i="12" l="1"/>
  <c r="C93" i="7" s="1"/>
  <c r="F15" i="10" l="1"/>
  <c r="F19" i="10"/>
  <c r="F17" i="10"/>
  <c r="F16" i="10"/>
  <c r="F18" i="10"/>
  <c r="G20" i="10" l="1"/>
  <c r="G21" i="10" s="1"/>
  <c r="F39" i="8"/>
  <c r="F38" i="8"/>
  <c r="F42" i="8"/>
  <c r="F41" i="8"/>
  <c r="F23" i="10" l="1"/>
  <c r="F24" i="10"/>
  <c r="G43" i="8"/>
  <c r="F52" i="8"/>
  <c r="G25" i="10" l="1"/>
  <c r="G26" i="10" s="1"/>
  <c r="G27" i="10" s="1"/>
  <c r="C95" i="7" l="1"/>
  <c r="G25" i="8" l="1"/>
  <c r="G30" i="8"/>
  <c r="G50" i="8" l="1"/>
  <c r="F54" i="8" l="1"/>
  <c r="F53" i="8"/>
  <c r="G55" i="8" s="1"/>
  <c r="G56" i="8" s="1"/>
  <c r="C92" i="7" s="1"/>
  <c r="F41" i="6" l="1"/>
  <c r="F36" i="6"/>
  <c r="F27" i="6"/>
  <c r="G33" i="6" s="1"/>
  <c r="F44" i="6"/>
  <c r="G47" i="6" l="1"/>
  <c r="G21" i="3" l="1"/>
  <c r="G28" i="3" l="1"/>
  <c r="G33" i="3"/>
  <c r="G25" i="6" l="1"/>
  <c r="G54" i="6" s="1"/>
  <c r="F56" i="6" l="1"/>
  <c r="G57" i="6" s="1"/>
  <c r="F60" i="6"/>
  <c r="F59" i="6"/>
  <c r="G34" i="3"/>
  <c r="F36" i="3" l="1"/>
  <c r="F37" i="3"/>
  <c r="G61" i="6"/>
  <c r="G62" i="6" s="1"/>
  <c r="C90" i="7" s="1"/>
  <c r="G38" i="3" l="1"/>
  <c r="G39" i="3" s="1"/>
  <c r="G40" i="3" l="1"/>
  <c r="C91" i="7" s="1"/>
  <c r="C98" i="7"/>
</calcChain>
</file>

<file path=xl/comments1.xml><?xml version="1.0" encoding="utf-8"?>
<comments xmlns="http://schemas.openxmlformats.org/spreadsheetml/2006/main">
  <authors>
    <author>Carson Schexnaider (DEQ)</author>
  </authors>
  <commentList>
    <comment ref="B100" authorId="0" shapeId="0">
      <text>
        <r>
          <rPr>
            <b/>
            <sz val="9"/>
            <color indexed="81"/>
            <rFont val="Tahoma"/>
            <family val="2"/>
          </rPr>
          <t>Carson Schexnaider (DEQ):</t>
        </r>
        <r>
          <rPr>
            <sz val="9"/>
            <color indexed="81"/>
            <rFont val="Tahoma"/>
            <family val="2"/>
          </rPr>
          <t xml:space="preserve">
Factor to adjust for yearly price increases</t>
        </r>
      </text>
    </comment>
  </commentList>
</comments>
</file>

<file path=xl/comments2.xml><?xml version="1.0" encoding="utf-8"?>
<comments xmlns="http://schemas.openxmlformats.org/spreadsheetml/2006/main">
  <authors>
    <author>Carson Schexnaider (DEQ)</author>
  </authors>
  <commentList>
    <comment ref="A56" authorId="0" shapeId="0">
      <text>
        <r>
          <rPr>
            <b/>
            <sz val="9"/>
            <color indexed="81"/>
            <rFont val="Tahoma"/>
            <family val="2"/>
          </rPr>
          <t>Carson Schexnaider (DEQ):</t>
        </r>
        <r>
          <rPr>
            <sz val="9"/>
            <color indexed="81"/>
            <rFont val="Tahoma"/>
            <family val="2"/>
          </rPr>
          <t xml:space="preserve">
Concerns over using a %? Lump sum, fixed cost, tiered?</t>
        </r>
      </text>
    </comment>
  </commentList>
</comments>
</file>

<file path=xl/comments3.xml><?xml version="1.0" encoding="utf-8"?>
<comments xmlns="http://schemas.openxmlformats.org/spreadsheetml/2006/main">
  <authors>
    <author>Carson Schexnaider (DEQ)</author>
  </authors>
  <commentList>
    <comment ref="A23" authorId="0" shapeId="0">
      <text>
        <r>
          <rPr>
            <b/>
            <sz val="9"/>
            <color indexed="81"/>
            <rFont val="Tahoma"/>
            <family val="2"/>
          </rPr>
          <t>Carson Schexnaider (DEQ):</t>
        </r>
        <r>
          <rPr>
            <sz val="9"/>
            <color indexed="81"/>
            <rFont val="Tahoma"/>
            <family val="2"/>
          </rPr>
          <t xml:space="preserve">
FILL IN ON FIRST SHEET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Carson Schexnaider (DEQ):</t>
        </r>
        <r>
          <rPr>
            <sz val="9"/>
            <color indexed="81"/>
            <rFont val="Tahoma"/>
            <family val="2"/>
          </rPr>
          <t xml:space="preserve">
FILL IN ON FIRST SHEET</t>
        </r>
      </text>
    </comment>
  </commentList>
</comments>
</file>

<file path=xl/comments4.xml><?xml version="1.0" encoding="utf-8"?>
<comments xmlns="http://schemas.openxmlformats.org/spreadsheetml/2006/main">
  <authors>
    <author>Carson Schexnaider (DEQ)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Carson Schexnaider (DEQ):</t>
        </r>
        <r>
          <rPr>
            <sz val="9"/>
            <color indexed="81"/>
            <rFont val="Tahoma"/>
            <family val="2"/>
          </rPr>
          <t xml:space="preserve">
Concerns over using a %? Lump sum, fixed cost, tiered?</t>
        </r>
      </text>
    </comment>
  </commentList>
</comments>
</file>

<file path=xl/sharedStrings.xml><?xml version="1.0" encoding="utf-8"?>
<sst xmlns="http://schemas.openxmlformats.org/spreadsheetml/2006/main" count="1019" uniqueCount="474">
  <si>
    <t xml:space="preserve">QUANTITY </t>
  </si>
  <si>
    <t xml:space="preserve">UNITS </t>
  </si>
  <si>
    <t xml:space="preserve">UNIT COST </t>
  </si>
  <si>
    <t xml:space="preserve">COST </t>
  </si>
  <si>
    <t xml:space="preserve">SUBTOTALS </t>
  </si>
  <si>
    <t xml:space="preserve"> </t>
  </si>
  <si>
    <t xml:space="preserve">CU. YD. </t>
  </si>
  <si>
    <t>ACRE</t>
  </si>
  <si>
    <t>EACH</t>
  </si>
  <si>
    <t>CU. YD.</t>
  </si>
  <si>
    <t>FINAL COVER ROUTINE MAINTENANCE</t>
  </si>
  <si>
    <t xml:space="preserve">Final Cover Repairs Annual Subtotal </t>
  </si>
  <si>
    <t>LEACHATE COLLECTION SYSTEM O&amp;M</t>
  </si>
  <si>
    <t>Collection operation/maintenance (pump, piping, storage...operation/repair/replace)</t>
  </si>
  <si>
    <t>Months</t>
  </si>
  <si>
    <t>Leachate sample collection</t>
  </si>
  <si>
    <t>Leachate sample analysis and reporting</t>
  </si>
  <si>
    <t>Leachate Collection System O&amp;M Annual Subtotal</t>
  </si>
  <si>
    <t>GAS MONITORING SYSTEM O&amp;M</t>
  </si>
  <si>
    <t>Methane monitoring at site boundary and structures (4 per year)</t>
  </si>
  <si>
    <t>Sample analysis and reporting</t>
  </si>
  <si>
    <t>Gas Monitoring System O&amp;M Annual Subtotal</t>
  </si>
  <si>
    <t xml:space="preserve">ITEM </t>
  </si>
  <si>
    <t>Clean Leachate Line</t>
  </si>
  <si>
    <t>Annual</t>
  </si>
  <si>
    <t>POST-CLOSURE CARE ANNUAL COST SUBTOTAL</t>
  </si>
  <si>
    <t>SOURCE OF UNIT COST INFO or NA</t>
  </si>
  <si>
    <r>
      <t xml:space="preserve">Soil, Off-site </t>
    </r>
    <r>
      <rPr>
        <sz val="9"/>
        <color indexed="8"/>
        <rFont val="Calibri"/>
        <family val="2"/>
      </rPr>
      <t xml:space="preserve">(purchase, transport, place, compact)  </t>
    </r>
  </si>
  <si>
    <t xml:space="preserve">Subtotal of Line Items </t>
  </si>
  <si>
    <t>Mowing/Trimming total acres three per year</t>
  </si>
  <si>
    <t xml:space="preserve">Administrative Services (Post-Closure Cost Subtotal  x 5%) </t>
  </si>
  <si>
    <t xml:space="preserve">Contingency (Post-Closure Cost Subtotal x 10%) </t>
  </si>
  <si>
    <r>
      <t xml:space="preserve">Soil, On-Site </t>
    </r>
    <r>
      <rPr>
        <sz val="9"/>
        <color indexed="8"/>
        <rFont val="Calibri"/>
        <family val="2"/>
      </rPr>
      <t>(excavate, transport, place, compact) 2%</t>
    </r>
  </si>
  <si>
    <t>Seeding and mulching 2%</t>
  </si>
  <si>
    <t xml:space="preserve"> Fertilizer 2%</t>
  </si>
  <si>
    <t>Regional factor</t>
  </si>
  <si>
    <t>Value</t>
  </si>
  <si>
    <t>Lafayette</t>
  </si>
  <si>
    <t xml:space="preserve">Lake Charles </t>
  </si>
  <si>
    <t>Monroe</t>
  </si>
  <si>
    <t>Tibodaux</t>
  </si>
  <si>
    <t>Proposed Area without final cover</t>
  </si>
  <si>
    <t>Area Requiring Geomembrane</t>
  </si>
  <si>
    <t>Regional Factor</t>
  </si>
  <si>
    <t xml:space="preserve">Low Permeability Soil Layer </t>
  </si>
  <si>
    <t>Complete soil contouring and grading for final cover</t>
  </si>
  <si>
    <t xml:space="preserve">ACRE </t>
  </si>
  <si>
    <t xml:space="preserve">Compaction </t>
  </si>
  <si>
    <t>E.C.Y</t>
  </si>
  <si>
    <t xml:space="preserve">Low Permeability Soil Layer Subtotal </t>
  </si>
  <si>
    <t xml:space="preserve">Geomembrane and Drainage Layer </t>
  </si>
  <si>
    <t xml:space="preserve">Drainage material--sand </t>
  </si>
  <si>
    <t xml:space="preserve">Geomembrane </t>
  </si>
  <si>
    <t xml:space="preserve">Geomembrane and Drainage Layer Subtotal </t>
  </si>
  <si>
    <t xml:space="preserve">Protective Soil and Vegetative Layer </t>
  </si>
  <si>
    <t xml:space="preserve">Spread Top Soil </t>
  </si>
  <si>
    <t>Fertilizer</t>
  </si>
  <si>
    <t xml:space="preserve">Protective Soil and Vegetative Layer Subtotal </t>
  </si>
  <si>
    <t xml:space="preserve">GAS SYSTEM </t>
  </si>
  <si>
    <t xml:space="preserve">Passive System </t>
  </si>
  <si>
    <t>Passive well head</t>
  </si>
  <si>
    <t xml:space="preserve">EACH </t>
  </si>
  <si>
    <t xml:space="preserve">Active System </t>
  </si>
  <si>
    <t xml:space="preserve">Gas System Subtotal </t>
  </si>
  <si>
    <t xml:space="preserve">Closure Cost Subtotal     </t>
  </si>
  <si>
    <t>PROFESSIONAL SERVICES</t>
  </si>
  <si>
    <t>Professional Services (10% of Closure Cost Subtotal)</t>
  </si>
  <si>
    <t>Acre</t>
  </si>
  <si>
    <t xml:space="preserve">Engineering (Design, Bid Documents, Procurement, Construction Contract Mangement) </t>
  </si>
  <si>
    <t>Engineering Services, (Construction Oversight, Testing, Reporting, Certification)</t>
  </si>
  <si>
    <t xml:space="preserve">Professional Services Subtotal </t>
  </si>
  <si>
    <t>ADMINISTRATION AND CONTINGENCY</t>
  </si>
  <si>
    <t xml:space="preserve">Administration Services (Closure Cost Subtotal  x 5%) </t>
  </si>
  <si>
    <t>Contingency (Closure Cost Subtotal x 10%)</t>
  </si>
  <si>
    <t>Administration and Contingency Subtotal</t>
  </si>
  <si>
    <t xml:space="preserve">TOTAL CURRENT CLOSURE COST </t>
  </si>
  <si>
    <t xml:space="preserve">Surface Impoundment Information </t>
  </si>
  <si>
    <t xml:space="preserve">Surface Area of surface Impoundment </t>
  </si>
  <si>
    <t xml:space="preserve">Acres </t>
  </si>
  <si>
    <t>Does The Surface impoundment have Geomembrane?</t>
  </si>
  <si>
    <t>Source</t>
  </si>
  <si>
    <t xml:space="preserve">Mix sludge with fly ash </t>
  </si>
  <si>
    <t xml:space="preserve">Impoundment Dewatering </t>
  </si>
  <si>
    <t>Miles</t>
  </si>
  <si>
    <t>FML w/ Artificial Turf</t>
  </si>
  <si>
    <t>Days</t>
  </si>
  <si>
    <t xml:space="preserve">Miles </t>
  </si>
  <si>
    <t>R.S. Means Regional factor</t>
  </si>
  <si>
    <t xml:space="preserve">            Compaction</t>
  </si>
  <si>
    <t xml:space="preserve">            Geomembrane</t>
  </si>
  <si>
    <r>
      <t xml:space="preserve">Clay, Off-site </t>
    </r>
    <r>
      <rPr>
        <sz val="9"/>
        <color indexed="8"/>
        <rFont val="Calibri"/>
        <family val="2"/>
      </rPr>
      <t xml:space="preserve">(Quantity must match soil balance)  </t>
    </r>
  </si>
  <si>
    <r>
      <t xml:space="preserve">            Clay, On-Site </t>
    </r>
    <r>
      <rPr>
        <sz val="9"/>
        <color indexed="8"/>
        <rFont val="Calibri"/>
        <family val="2"/>
      </rPr>
      <t xml:space="preserve">(excavate, place) </t>
    </r>
  </si>
  <si>
    <t xml:space="preserve">Haul Soil (20% Swell Factor) </t>
  </si>
  <si>
    <t>Reporting</t>
  </si>
  <si>
    <t>Clay, On-Site 2.5ft recompacted/top soil</t>
  </si>
  <si>
    <t xml:space="preserve">Sampling Lab analysis (4/acre and side slopes) </t>
  </si>
  <si>
    <t>Field Sampling Labor</t>
  </si>
  <si>
    <t>Sample analysis reporting</t>
  </si>
  <si>
    <t>Annual Recap Testing bottom liner</t>
  </si>
  <si>
    <t>6in Rain/Month</t>
  </si>
  <si>
    <t xml:space="preserve">            Geo-grid</t>
  </si>
  <si>
    <t>Weight of Ash (assume 1.5 tons/cy)</t>
  </si>
  <si>
    <t>If Closing in-Place Does the Facility have Soil Available to Close?</t>
  </si>
  <si>
    <t>Does the facility have a Surface Impoundment?</t>
  </si>
  <si>
    <t>Is the landfill closed</t>
  </si>
  <si>
    <t>Years</t>
  </si>
  <si>
    <t>Facility Name:</t>
  </si>
  <si>
    <t>Agency Interest Number:</t>
  </si>
  <si>
    <t>Date of Last Detailed Estimate:</t>
  </si>
  <si>
    <t xml:space="preserve">Site Specific Information  </t>
  </si>
  <si>
    <t>Surface Impoundment Post-Closure</t>
  </si>
  <si>
    <t>Permit</t>
  </si>
  <si>
    <t>Permit or COC</t>
  </si>
  <si>
    <t>Permit or Facility</t>
  </si>
  <si>
    <t>Permit or Facility or Google Maps</t>
  </si>
  <si>
    <t>Google Maps</t>
  </si>
  <si>
    <t>Does the facility have a Type I/II landfill?</t>
  </si>
  <si>
    <t>Does the facility have Type III landfill?</t>
  </si>
  <si>
    <t>Type III Landfill Closure</t>
  </si>
  <si>
    <t>Type III Landfill Post-Closure</t>
  </si>
  <si>
    <t>Wells</t>
  </si>
  <si>
    <t>Feet</t>
  </si>
  <si>
    <t>Is soil available on-site to apply final cover?</t>
  </si>
  <si>
    <t>Type I/II Landfill Post-Closure</t>
  </si>
  <si>
    <t>Site AI#</t>
  </si>
  <si>
    <t>Calculations</t>
  </si>
  <si>
    <t>Cost Per Sample</t>
  </si>
  <si>
    <t>TD</t>
  </si>
  <si>
    <t>Sampling Labor</t>
  </si>
  <si>
    <t>TDS</t>
  </si>
  <si>
    <t>Total Number of wells to be sampled minus 1</t>
  </si>
  <si>
    <t>Mercury</t>
  </si>
  <si>
    <t>Analytical</t>
  </si>
  <si>
    <t>Subtotal per sample</t>
  </si>
  <si>
    <t>pH</t>
  </si>
  <si>
    <t>Total Number of wells to be sampled</t>
  </si>
  <si>
    <t>Wells plus 3 blanks</t>
  </si>
  <si>
    <t>cost per report</t>
  </si>
  <si>
    <t>Times 60 events</t>
  </si>
  <si>
    <t>Subtotal Reporting</t>
  </si>
  <si>
    <t>Plug and Abandonment</t>
  </si>
  <si>
    <t>Cost per foot</t>
  </si>
  <si>
    <t>Total feet</t>
  </si>
  <si>
    <t>Subtotal P&amp;A</t>
  </si>
  <si>
    <t>Additional cost proposed by facility</t>
  </si>
  <si>
    <t>Maintenace per year</t>
  </si>
  <si>
    <t>Subtotal Annual Cost</t>
  </si>
  <si>
    <t>Grand Total</t>
  </si>
  <si>
    <t>*VPH=</t>
  </si>
  <si>
    <r>
      <t>aliphatic C</t>
    </r>
    <r>
      <rPr>
        <vertAlign val="subscript"/>
        <sz val="10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- C</t>
    </r>
    <r>
      <rPr>
        <vertAlign val="subscript"/>
        <sz val="10"/>
        <color theme="1"/>
        <rFont val="Arial"/>
        <family val="2"/>
      </rPr>
      <t>12</t>
    </r>
  </si>
  <si>
    <r>
      <t>aromatic C</t>
    </r>
    <r>
      <rPr>
        <vertAlign val="subscript"/>
        <sz val="10"/>
        <color theme="1"/>
        <rFont val="Arial"/>
        <family val="2"/>
      </rPr>
      <t>9</t>
    </r>
    <r>
      <rPr>
        <sz val="11"/>
        <color theme="1"/>
        <rFont val="Calibri"/>
        <family val="2"/>
        <scheme val="minor"/>
      </rPr>
      <t xml:space="preserve"> - C</t>
    </r>
    <r>
      <rPr>
        <vertAlign val="subscript"/>
        <sz val="10"/>
        <color theme="1"/>
        <rFont val="Arial"/>
        <family val="2"/>
      </rPr>
      <t>10</t>
    </r>
  </si>
  <si>
    <t>*EPH=</t>
  </si>
  <si>
    <r>
      <t>aliphatic C</t>
    </r>
    <r>
      <rPr>
        <vertAlign val="subscript"/>
        <sz val="10"/>
        <color theme="1"/>
        <rFont val="Arial"/>
        <family val="2"/>
      </rPr>
      <t>9</t>
    </r>
    <r>
      <rPr>
        <sz val="11"/>
        <color theme="1"/>
        <rFont val="Calibri"/>
        <family val="2"/>
        <scheme val="minor"/>
      </rPr>
      <t xml:space="preserve"> - C</t>
    </r>
    <r>
      <rPr>
        <vertAlign val="subscript"/>
        <sz val="10"/>
        <color theme="1"/>
        <rFont val="Arial"/>
        <family val="2"/>
      </rPr>
      <t>36</t>
    </r>
  </si>
  <si>
    <r>
      <t>aromatic C</t>
    </r>
    <r>
      <rPr>
        <vertAlign val="subscript"/>
        <sz val="10"/>
        <color theme="1"/>
        <rFont val="Arial"/>
        <family val="2"/>
      </rPr>
      <t>11</t>
    </r>
    <r>
      <rPr>
        <sz val="11"/>
        <color theme="1"/>
        <rFont val="Calibri"/>
        <family val="2"/>
        <scheme val="minor"/>
      </rPr>
      <t xml:space="preserve"> - C</t>
    </r>
    <r>
      <rPr>
        <vertAlign val="subscript"/>
        <sz val="10"/>
        <color theme="1"/>
        <rFont val="Arial"/>
        <family val="2"/>
      </rPr>
      <t>22</t>
    </r>
  </si>
  <si>
    <r>
      <t xml:space="preserve">Enter everything in </t>
    </r>
    <r>
      <rPr>
        <b/>
        <sz val="10"/>
        <color theme="3" tint="0.39997558519241921"/>
        <rFont val="Arial"/>
        <family val="2"/>
      </rPr>
      <t>blue ink</t>
    </r>
    <r>
      <rPr>
        <b/>
        <sz val="10"/>
        <color theme="1"/>
        <rFont val="Arial"/>
        <family val="2"/>
      </rPr>
      <t xml:space="preserve"> and the computer calculates the rest.</t>
    </r>
  </si>
  <si>
    <t>Subtotal feet</t>
  </si>
  <si>
    <t>Changing locks (initally after taking over and every 10 years) (3 times total)</t>
  </si>
  <si>
    <t>Replacing hinges (due to environment, will probably need to replace every 10 years)</t>
  </si>
  <si>
    <t>Repairing/Replacing well pads (at least once every 15 years)</t>
  </si>
  <si>
    <t>Replacing well casing (including removing and replacing pad) (at least once every 15 years)</t>
  </si>
  <si>
    <t>Painting Bollards (every 10 years)</t>
  </si>
  <si>
    <t>Redeveloping wells (every 10 years, including initial event)</t>
  </si>
  <si>
    <t xml:space="preserve">Depth of Surface impoundment </t>
  </si>
  <si>
    <t xml:space="preserve">Sludge Bottom Thickness </t>
  </si>
  <si>
    <t>Pump Fuel and Labor</t>
  </si>
  <si>
    <t xml:space="preserve">Sludge Disposal tipping fee </t>
  </si>
  <si>
    <t xml:space="preserve">            Haul onsite  (20% Swell Factor)</t>
  </si>
  <si>
    <t>L.S.</t>
  </si>
  <si>
    <t>Inflationary Factor Line</t>
  </si>
  <si>
    <t xml:space="preserve">            Seeding</t>
  </si>
  <si>
    <t xml:space="preserve">            Final Grading of waste material</t>
  </si>
  <si>
    <t>C.Y.</t>
  </si>
  <si>
    <t>S.F.</t>
  </si>
  <si>
    <t xml:space="preserve">Drainage material--geocomposite </t>
  </si>
  <si>
    <t>Exposed Geomembrane</t>
  </si>
  <si>
    <t>Hydroseed (slopes)</t>
  </si>
  <si>
    <t>Spreading Seed (flat areas)</t>
  </si>
  <si>
    <t>Geotextile</t>
  </si>
  <si>
    <t>Vegetative Layer</t>
  </si>
  <si>
    <t>Additional Well Installation (Requires Estimate Acres for 5 years)</t>
  </si>
  <si>
    <t>Artificial Turf Maintinance</t>
  </si>
  <si>
    <t>Date of Estimate:</t>
  </si>
  <si>
    <t xml:space="preserve">Permit Number: </t>
  </si>
  <si>
    <t>Facility Specific Info</t>
  </si>
  <si>
    <t>Acadiana</t>
  </si>
  <si>
    <t>Capital</t>
  </si>
  <si>
    <t>Southeast</t>
  </si>
  <si>
    <t>Southwest</t>
  </si>
  <si>
    <t>Northeast</t>
  </si>
  <si>
    <t>Northwest</t>
  </si>
  <si>
    <t>SELECT REGION</t>
  </si>
  <si>
    <t>Yes</t>
  </si>
  <si>
    <t>No</t>
  </si>
  <si>
    <t>Yes or No</t>
  </si>
  <si>
    <t>Worksheet Completed by:</t>
  </si>
  <si>
    <t>Facility Location Cost Adjustment Factor</t>
  </si>
  <si>
    <t>Is the landfill closed?</t>
  </si>
  <si>
    <t>Hydroseed</t>
  </si>
  <si>
    <t>Both</t>
  </si>
  <si>
    <t>Grass Seed</t>
  </si>
  <si>
    <r>
      <t xml:space="preserve">Current constructed cell area </t>
    </r>
    <r>
      <rPr>
        <b/>
        <sz val="11"/>
        <color indexed="8"/>
        <rFont val="Calibri"/>
        <family val="2"/>
      </rPr>
      <t>WITHOUT</t>
    </r>
    <r>
      <rPr>
        <sz val="11"/>
        <color indexed="8"/>
        <rFont val="Calibri"/>
        <family val="2"/>
      </rPr>
      <t xml:space="preserve"> final cover</t>
    </r>
  </si>
  <si>
    <r>
      <t xml:space="preserve">Current constructed cell area </t>
    </r>
    <r>
      <rPr>
        <b/>
        <sz val="11"/>
        <color indexed="8"/>
        <rFont val="Calibri"/>
        <family val="2"/>
      </rPr>
      <t>WITH</t>
    </r>
    <r>
      <rPr>
        <sz val="11"/>
        <color indexed="8"/>
        <rFont val="Calibri"/>
        <family val="2"/>
      </rPr>
      <t xml:space="preserve"> final cover</t>
    </r>
  </si>
  <si>
    <t>Grass</t>
  </si>
  <si>
    <t xml:space="preserve">Facility area requiring geomembrane </t>
  </si>
  <si>
    <t xml:space="preserve">If soil is NOT available on-site, what is the haul distance? </t>
  </si>
  <si>
    <t>Will the facility use geogrid for closure?</t>
  </si>
  <si>
    <t xml:space="preserve">Number of active gas wells installed at closure </t>
  </si>
  <si>
    <t>WELLS</t>
  </si>
  <si>
    <t>WORKSHEET</t>
  </si>
  <si>
    <t>MW-2</t>
  </si>
  <si>
    <t>Note: this section is to be used at the reviewers discretion for site specific calculations.</t>
  </si>
  <si>
    <t>first well</t>
  </si>
  <si>
    <t>MW-3</t>
  </si>
  <si>
    <t>Metals</t>
  </si>
  <si>
    <t>MW-4</t>
  </si>
  <si>
    <t>30 year cost</t>
  </si>
  <si>
    <t>Chloride</t>
  </si>
  <si>
    <t>MW-5</t>
  </si>
  <si>
    <t>item</t>
  </si>
  <si>
    <t>Facility cost</t>
  </si>
  <si>
    <t>DEQ cost</t>
  </si>
  <si>
    <t>facility-DEQ</t>
  </si>
  <si>
    <t>Sulfate</t>
  </si>
  <si>
    <t>MW-6</t>
  </si>
  <si>
    <t>sampling</t>
  </si>
  <si>
    <t>MW-8</t>
  </si>
  <si>
    <t>analytical</t>
  </si>
  <si>
    <t>MW-10</t>
  </si>
  <si>
    <t>reporting</t>
  </si>
  <si>
    <t>P&amp;A</t>
  </si>
  <si>
    <t xml:space="preserve">30 year </t>
  </si>
  <si>
    <t>annual</t>
  </si>
  <si>
    <t>Annual Cost</t>
  </si>
  <si>
    <t>Fac Annual</t>
  </si>
  <si>
    <t>Facility 30</t>
  </si>
  <si>
    <t>Alkalinity</t>
  </si>
  <si>
    <t>COD</t>
  </si>
  <si>
    <t>BOD</t>
  </si>
  <si>
    <t>Ammonia</t>
  </si>
  <si>
    <t>VOCs</t>
  </si>
  <si>
    <t>EDB &amp; DBCP</t>
  </si>
  <si>
    <t>Base/Neutral/Acid - SVOA</t>
  </si>
  <si>
    <t>PAHs</t>
  </si>
  <si>
    <t>MW-1</t>
  </si>
  <si>
    <t>MW-7</t>
  </si>
  <si>
    <t>MW-9</t>
  </si>
  <si>
    <t>How many wells does the facility have?</t>
  </si>
  <si>
    <t>TPH-ORO</t>
  </si>
  <si>
    <t>TPH-DRO</t>
  </si>
  <si>
    <t>MASS-VPH</t>
  </si>
  <si>
    <t>TPH-GRO</t>
  </si>
  <si>
    <t>Pesticides</t>
  </si>
  <si>
    <t>Herbicides</t>
  </si>
  <si>
    <t>Individual Metals</t>
  </si>
  <si>
    <t>Nitrate-Nitrite</t>
  </si>
  <si>
    <t>Sulfide</t>
  </si>
  <si>
    <t>BTEX</t>
  </si>
  <si>
    <t>Trihalomethanes</t>
  </si>
  <si>
    <t>PCDDs</t>
  </si>
  <si>
    <t xml:space="preserve">TOC </t>
  </si>
  <si>
    <t>TOX</t>
  </si>
  <si>
    <t>Specific Conductance</t>
  </si>
  <si>
    <t>Total Phosphorus</t>
  </si>
  <si>
    <t>Ortho Phosphorus</t>
  </si>
  <si>
    <t>Radioactivity</t>
  </si>
  <si>
    <t>Radium 226</t>
  </si>
  <si>
    <t>Radium 228</t>
  </si>
  <si>
    <t>Gross Alpha/Beta</t>
  </si>
  <si>
    <t>Uranium</t>
  </si>
  <si>
    <t>PCBs</t>
  </si>
  <si>
    <t>Formaldehyde</t>
  </si>
  <si>
    <t>Phenols</t>
  </si>
  <si>
    <t>Cyanide</t>
  </si>
  <si>
    <t>MTBE</t>
  </si>
  <si>
    <t>Halo Acetic Acids</t>
  </si>
  <si>
    <t>Well Maintenance</t>
  </si>
  <si>
    <t>Cost per unit</t>
  </si>
  <si>
    <t>Number of units</t>
  </si>
  <si>
    <t>Unit Total</t>
  </si>
  <si>
    <t>Labor cost</t>
  </si>
  <si>
    <t>Total Cost</t>
  </si>
  <si>
    <t>Total number of wells and piezometers time 3 events</t>
  </si>
  <si>
    <t>Part of sampling cost</t>
  </si>
  <si>
    <t>1-8 hr event at $60 per hour ($480)</t>
  </si>
  <si>
    <t>Total number of wells and piezometers one time during 30 year  period</t>
  </si>
  <si>
    <t>1-8 hr event at $60 per hour ($480) with mobilization of .75 cents per mile and 240 miles roundtrip ($180)</t>
  </si>
  <si>
    <t>Total wells and piezometers time 2 events</t>
  </si>
  <si>
    <t>Total number of wells time 3 events</t>
  </si>
  <si>
    <t>1-12 hr event at $60 per hour ($720) with mobilization of .75 cents per mile and 240 miles roundtrip ($180)</t>
  </si>
  <si>
    <t>Replacing wells (Half number of wells during 30 year period)</t>
  </si>
  <si>
    <t>Half the number of wells during 30 year period</t>
  </si>
  <si>
    <t>Mobilization and labor ($2800)</t>
  </si>
  <si>
    <t xml:space="preserve">Total </t>
  </si>
  <si>
    <t>Maintenance</t>
  </si>
  <si>
    <t>maintenance</t>
  </si>
  <si>
    <t>Artificial Turf</t>
  </si>
  <si>
    <t>Will the facility use soil for the landfill cap?</t>
  </si>
  <si>
    <t>No; List Item on Right</t>
  </si>
  <si>
    <t>Alternative Name</t>
  </si>
  <si>
    <t>Quantity</t>
  </si>
  <si>
    <t>Units</t>
  </si>
  <si>
    <t>Unit Cost</t>
  </si>
  <si>
    <t>Alternatives Table
(To be completed as needed)</t>
  </si>
  <si>
    <t>INSERT SOIL ALTERNATIVE HERE</t>
  </si>
  <si>
    <t>INSERT GEOGRID ALTERNATIVE HERE</t>
  </si>
  <si>
    <t>a</t>
  </si>
  <si>
    <t>b</t>
  </si>
  <si>
    <t>h</t>
  </si>
  <si>
    <t>Final Landfill Height</t>
  </si>
  <si>
    <t>What is the proposed final height?</t>
  </si>
  <si>
    <t>c</t>
  </si>
  <si>
    <t>LAT Area</t>
  </si>
  <si>
    <t>TOP Area</t>
  </si>
  <si>
    <t>###</t>
  </si>
  <si>
    <t>UNITS</t>
  </si>
  <si>
    <t>Total Cost Summary</t>
  </si>
  <si>
    <t xml:space="preserve">Type I/II Landfill Closure </t>
  </si>
  <si>
    <t xml:space="preserve">Surface Impoundment Closure </t>
  </si>
  <si>
    <t>Geology Closure/Post-Closure</t>
  </si>
  <si>
    <t>Geology Well Maintenance</t>
  </si>
  <si>
    <t xml:space="preserve">Total Facility Costs </t>
  </si>
  <si>
    <t>S.Y.</t>
  </si>
  <si>
    <t>Acres</t>
  </si>
  <si>
    <t>Gas well monitoring</t>
  </si>
  <si>
    <t>Mobilization</t>
  </si>
  <si>
    <t>8-hr drive</t>
  </si>
  <si>
    <t>4-wheeler/Truck</t>
  </si>
  <si>
    <t>rental - Enterprise quote- 2 days</t>
  </si>
  <si>
    <t>Labor rate 10 well/hr.</t>
  </si>
  <si>
    <t xml:space="preserve">Reporting </t>
  </si>
  <si>
    <t>8-hr project manager processing</t>
  </si>
  <si>
    <t>Food/hotel</t>
  </si>
  <si>
    <t>market analysis</t>
  </si>
  <si>
    <t>Gemt 2000 Rental</t>
  </si>
  <si>
    <t>Enviro-Equipment inc.- 1 week</t>
  </si>
  <si>
    <t>Well maintenance Costs</t>
  </si>
  <si>
    <t xml:space="preserve">Clay, On-site </t>
  </si>
  <si>
    <t xml:space="preserve">Clay, Off-site </t>
  </si>
  <si>
    <t>Surface Impoundment Closure Costs</t>
  </si>
  <si>
    <t>Gallons</t>
  </si>
  <si>
    <t>Cubic Yards</t>
  </si>
  <si>
    <t>Tons</t>
  </si>
  <si>
    <t>Pond Size</t>
  </si>
  <si>
    <t>Pond Depth</t>
  </si>
  <si>
    <t>Sludge Volume</t>
  </si>
  <si>
    <t>Pond Volume</t>
  </si>
  <si>
    <t>Pump Rental (Round To Nearest Week)</t>
  </si>
  <si>
    <t>TONS</t>
  </si>
  <si>
    <t>HOURS</t>
  </si>
  <si>
    <t>WEEK</t>
  </si>
  <si>
    <t>Impoundment Dewatering Subtotal</t>
  </si>
  <si>
    <t>Disposal of Fly Ash/Sludge Solidification Subtotal</t>
  </si>
  <si>
    <t>Close In-Place Liner Subtotal</t>
  </si>
  <si>
    <t>SAMPLE</t>
  </si>
  <si>
    <t>EVENT</t>
  </si>
  <si>
    <t>Closure Cost Subtotal</t>
  </si>
  <si>
    <t>Professional Services Subtotal</t>
  </si>
  <si>
    <t>Yes; List Items on Right</t>
  </si>
  <si>
    <t>→</t>
  </si>
  <si>
    <t>INSERT DEWATERING ALTERNATIVE HERE</t>
  </si>
  <si>
    <t>INSERT SOLIDIFICATION ALTERNATIVE HERE</t>
  </si>
  <si>
    <r>
      <t xml:space="preserve">Clay, On-Site </t>
    </r>
    <r>
      <rPr>
        <sz val="9"/>
        <color indexed="8"/>
        <rFont val="Calibri"/>
        <family val="2"/>
      </rPr>
      <t>(excavate, transport, place)</t>
    </r>
  </si>
  <si>
    <r>
      <t xml:space="preserve">Vegetative Soil (Topsoil), On-site </t>
    </r>
    <r>
      <rPr>
        <sz val="9"/>
        <color indexed="8"/>
        <rFont val="Calibri"/>
        <family val="2"/>
      </rPr>
      <t>(excavate, transport)</t>
    </r>
  </si>
  <si>
    <r>
      <t xml:space="preserve">Vegetative Soil (Topsoil), Off-site </t>
    </r>
    <r>
      <rPr>
        <sz val="9"/>
        <color indexed="8"/>
        <rFont val="Calibri"/>
        <family val="2"/>
      </rPr>
      <t>(excavate, transport, place)</t>
    </r>
  </si>
  <si>
    <t>Mobilization (Tiered cost) (BASED ON FACILITY SIZE)</t>
  </si>
  <si>
    <r>
      <t xml:space="preserve">Soil for fixing erosion, On-Site  </t>
    </r>
    <r>
      <rPr>
        <sz val="9"/>
        <rFont val="Calibri"/>
        <family val="2"/>
      </rPr>
      <t>(excavate, transport, place, compact) 2%</t>
    </r>
  </si>
  <si>
    <r>
      <t xml:space="preserve">Soil for fixing erosion, Off-site </t>
    </r>
    <r>
      <rPr>
        <sz val="9"/>
        <rFont val="Calibri"/>
        <family val="2"/>
      </rPr>
      <t>(purchase, transport, place, compact)  2%</t>
    </r>
  </si>
  <si>
    <t>Onsite- Treatment Leachate Treatment/Disposal</t>
  </si>
  <si>
    <t>S . field technician 6.50/well</t>
  </si>
  <si>
    <t>Methane monitoring of probes/wells (12 events per year) per well</t>
  </si>
  <si>
    <t>Purchase Fly ash (1:1 volume ash/sludge ratio)(if known include ratio)</t>
  </si>
  <si>
    <t>Parameters</t>
  </si>
  <si>
    <t>Cost</t>
  </si>
  <si>
    <t>MASS-EPH</t>
  </si>
  <si>
    <t>TOC</t>
  </si>
  <si>
    <t>What is the total sum of all the monitor well and piezometer depths at the facility?</t>
  </si>
  <si>
    <t>Bi-annual</t>
  </si>
  <si>
    <t>Semi-annual</t>
  </si>
  <si>
    <t>Constructed Area without final cover</t>
  </si>
  <si>
    <t>Constructed Area with final cover</t>
  </si>
  <si>
    <t>Total Annual Post-Closure Cost</t>
  </si>
  <si>
    <t>Post-Closure Cost Subtotal</t>
  </si>
  <si>
    <t>Surface Impoundment Post-Closure Costs</t>
  </si>
  <si>
    <t>Alternative Impoundment Dewatering and Solidification</t>
  </si>
  <si>
    <t>Close In-Place Liner (Close In Place Only)</t>
  </si>
  <si>
    <t>Type III Landfill Closure Costs</t>
  </si>
  <si>
    <t>How many surface impoundments at the facility?</t>
  </si>
  <si>
    <r>
      <t xml:space="preserve">Will the facility use a pump for dewatering and fly ash for sludge solidification?
</t>
    </r>
    <r>
      <rPr>
        <i/>
        <sz val="11"/>
        <rFont val="Calibri"/>
        <family val="2"/>
      </rPr>
      <t>(If no, please input alternative information in the "Alternative Table" to the right)</t>
    </r>
  </si>
  <si>
    <r>
      <t xml:space="preserve">If using grass, will </t>
    </r>
    <r>
      <rPr>
        <b/>
        <sz val="11"/>
        <rFont val="Calibri"/>
        <family val="2"/>
        <scheme val="minor"/>
      </rPr>
      <t>Hydroseed,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grass seed</t>
    </r>
    <r>
      <rPr>
        <sz val="11"/>
        <rFont val="Calibri"/>
        <family val="2"/>
        <scheme val="minor"/>
      </rPr>
      <t xml:space="preserve">, or </t>
    </r>
    <r>
      <rPr>
        <b/>
        <sz val="11"/>
        <rFont val="Calibri"/>
        <family val="2"/>
        <scheme val="minor"/>
      </rPr>
      <t>both</t>
    </r>
    <r>
      <rPr>
        <sz val="11"/>
        <rFont val="Calibri"/>
        <family val="2"/>
        <scheme val="minor"/>
      </rPr>
      <t xml:space="preserve"> be used for closure?</t>
    </r>
  </si>
  <si>
    <t>Type III Landfill Post-Closure Costs</t>
  </si>
  <si>
    <t>Seeding and mulching (2% of area)</t>
  </si>
  <si>
    <t xml:space="preserve"> Fertilizer (2% of area)</t>
  </si>
  <si>
    <t>Mobilization (Tiered cost based on facility size)</t>
  </si>
  <si>
    <t>Clay Price</t>
  </si>
  <si>
    <t xml:space="preserve">Haul onsite (20% Swell Factor) </t>
  </si>
  <si>
    <t>Vegetative Soil, On-site</t>
  </si>
  <si>
    <r>
      <t xml:space="preserve">Vegetative Soil, On-site </t>
    </r>
    <r>
      <rPr>
        <sz val="9"/>
        <color indexed="8"/>
        <rFont val="Calibri"/>
        <family val="2"/>
      </rPr>
      <t>(excavate, transport,place)</t>
    </r>
  </si>
  <si>
    <r>
      <t xml:space="preserve">Vegetative Soil Off-site </t>
    </r>
    <r>
      <rPr>
        <sz val="9"/>
        <color indexed="8"/>
        <rFont val="Calibri"/>
        <family val="2"/>
      </rPr>
      <t>(excavate, transport, place)</t>
    </r>
  </si>
  <si>
    <t>`</t>
  </si>
  <si>
    <t>Select Parameters on Right</t>
  </si>
  <si>
    <t>RSMeans Page 245; 31 22 13.20 0250</t>
  </si>
  <si>
    <t>RSMeans Page 286; 31 23 23.23 6020</t>
  </si>
  <si>
    <t>RSMeans Page 358; 32 92 19.14 4600</t>
  </si>
  <si>
    <t>RSMeans Page 358; 32 92 19.14 4500</t>
  </si>
  <si>
    <t>RSMeans Page 359; 32 92 19.14 7025</t>
  </si>
  <si>
    <t>Does the Facility have an active or passive gas collection?</t>
  </si>
  <si>
    <t>INSERT GAS ALTERNATIVE HERE</t>
  </si>
  <si>
    <t>Type I/II Landfill Information</t>
  </si>
  <si>
    <t xml:space="preserve">Type III Landfill Information </t>
  </si>
  <si>
    <t>Geology Information</t>
  </si>
  <si>
    <t xml:space="preserve">Number of Days to Complete Closure </t>
  </si>
  <si>
    <t xml:space="preserve">Distance to landfill to be utilized </t>
  </si>
  <si>
    <t>PROFESSIONAL SERVICES COST BREAKDOWN</t>
  </si>
  <si>
    <t>Boundary Survey</t>
  </si>
  <si>
    <t>Surveyor</t>
  </si>
  <si>
    <t>CADD Designer</t>
  </si>
  <si>
    <t>Staff Engineer</t>
  </si>
  <si>
    <t>rate</t>
  </si>
  <si>
    <t>hours</t>
  </si>
  <si>
    <t>pickup truck</t>
  </si>
  <si>
    <t>survey equipment</t>
  </si>
  <si>
    <t>day</t>
  </si>
  <si>
    <t>Project Engineer</t>
  </si>
  <si>
    <t>Lab Manager</t>
  </si>
  <si>
    <t>Soil &amp; Geosynthetics Sampling</t>
  </si>
  <si>
    <t>each</t>
  </si>
  <si>
    <t>Nuclear Density Gauge</t>
  </si>
  <si>
    <t>ONE SAMPLE PER ACRE</t>
  </si>
  <si>
    <t>ONE ACRE PER DAY</t>
  </si>
  <si>
    <t>SAME AS DAYS FOR DENSITY</t>
  </si>
  <si>
    <t>SURVEY 20 ACRES PER DAY</t>
  </si>
  <si>
    <t>SURVEYOR HOURS DIVIDED BY 8 ROUNDED UP</t>
  </si>
  <si>
    <t>Third Party Estimates</t>
  </si>
  <si>
    <t xml:space="preserve">If soil is NOT available on-site, what is the haul distance from the landfill to the pit? </t>
  </si>
  <si>
    <t>RSMeans Page 274; 31 23 23.20 4016</t>
  </si>
  <si>
    <t>RSMeans Page 274; 31 23 23.20 4050-4086</t>
  </si>
  <si>
    <t>Provided by Facility</t>
  </si>
  <si>
    <t>Vegetative Soil, Off-site</t>
  </si>
  <si>
    <t>Parameter Cost Table</t>
  </si>
  <si>
    <t xml:space="preserve">Does the facility have costs to sample beneath the impoundment? </t>
  </si>
  <si>
    <r>
      <t xml:space="preserve">Will/Was </t>
    </r>
    <r>
      <rPr>
        <b/>
        <sz val="11"/>
        <rFont val="Calibri"/>
        <family val="2"/>
        <scheme val="minor"/>
      </rPr>
      <t>Hydroseed,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grass seed</t>
    </r>
    <r>
      <rPr>
        <sz val="11"/>
        <rFont val="Calibri"/>
        <family val="2"/>
        <scheme val="minor"/>
      </rPr>
      <t xml:space="preserve">, or </t>
    </r>
    <r>
      <rPr>
        <b/>
        <sz val="11"/>
        <rFont val="Calibri"/>
        <family val="2"/>
        <scheme val="minor"/>
      </rPr>
      <t>both</t>
    </r>
    <r>
      <rPr>
        <sz val="11"/>
        <rFont val="Calibri"/>
        <family val="2"/>
        <scheme val="minor"/>
      </rPr>
      <t xml:space="preserve"> be used for closure?</t>
    </r>
  </si>
  <si>
    <t>Will/Did the facility use artificial turf or grass for final closure?</t>
  </si>
  <si>
    <t>RSMeans Page 396; 33 41 23.19 0170</t>
  </si>
  <si>
    <t>Type I/II Landfill Closure Costs</t>
  </si>
  <si>
    <t>Type I/II Landfill Post-Closure Costs</t>
  </si>
  <si>
    <t>Is the Surface Impoundment closed?</t>
  </si>
  <si>
    <t xml:space="preserve">Haul onsite </t>
  </si>
  <si>
    <t>How many years left on post-closure?</t>
  </si>
  <si>
    <t>How many years left on post closure? (Close in Place Only)</t>
  </si>
  <si>
    <t xml:space="preserve">How many years left on post-closure </t>
  </si>
  <si>
    <t>Transport Sludge (Assumed 20 c.y. size truck)</t>
  </si>
  <si>
    <t>Load Sludge (Includes labor and equipment costs)</t>
  </si>
  <si>
    <t>RSMeans Page 275; 31 23 23.20 4106-4112</t>
  </si>
  <si>
    <t>RSMeans Page 255; 31 23 16.42 0200</t>
  </si>
  <si>
    <t>Gal./Year</t>
  </si>
  <si>
    <t xml:space="preserve">            Haul onsite  </t>
  </si>
  <si>
    <t>Haul onsite</t>
  </si>
  <si>
    <t>Type I</t>
  </si>
  <si>
    <t>Type II</t>
  </si>
  <si>
    <t xml:space="preserve">LDEQ Cost Estimate Workbook </t>
  </si>
  <si>
    <t>Workbook Completed by:</t>
  </si>
  <si>
    <t>Geology Closure and Post-Closure</t>
  </si>
  <si>
    <t>Fluoride</t>
  </si>
  <si>
    <t>Times 200</t>
  </si>
  <si>
    <t>Organophosphorus pesticides</t>
  </si>
  <si>
    <t>Dissolved Metals Filtration</t>
  </si>
  <si>
    <t>Does the facility intend to clean close/risk-based close their surface impoundment?</t>
  </si>
  <si>
    <t>How many times each year are the constituents of concern sampled for?</t>
  </si>
  <si>
    <t>What constituents of concern does the facility sample for?</t>
  </si>
  <si>
    <t>Disposal Fly Ash/Sludge Solidification 
(Clean or Risk-Based Closure)</t>
  </si>
  <si>
    <t>Is the facility pursuing Clean or Risk-Based Closure?</t>
  </si>
  <si>
    <t>Specify landfill to be used for disposing of sludge (Clean or Risk-Based Closure Only)</t>
  </si>
  <si>
    <r>
      <t xml:space="preserve">Testing </t>
    </r>
    <r>
      <rPr>
        <b/>
        <sz val="16"/>
        <color theme="0"/>
        <rFont val="Calibri"/>
        <family val="2"/>
      </rPr>
      <t>of soil and groundwater</t>
    </r>
  </si>
  <si>
    <t>Sampling of groundwater beneath Impoundment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</si>
</sst>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[$-409]mmmm\ d\,\ yyyy;@"/>
    <numFmt numFmtId="167" formatCode="0.0%"/>
    <numFmt numFmtId="168" formatCode="&quot;$&quot;#,##0"/>
  </numFmts>
  <fonts count="5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3" tint="0.39997558519241921"/>
      <name val="Arial"/>
      <family val="2"/>
    </font>
    <font>
      <vertAlign val="subscript"/>
      <sz val="10"/>
      <color theme="1"/>
      <name val="Arial"/>
      <family val="2"/>
    </font>
    <font>
      <sz val="10"/>
      <name val="Arial"/>
      <family val="2"/>
    </font>
    <font>
      <b/>
      <sz val="10"/>
      <color theme="3" tint="0.39997558519241921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C00000"/>
      <name val="Arial"/>
      <family val="2"/>
    </font>
    <font>
      <sz val="8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24"/>
      <color indexed="8"/>
      <name val="Calibri"/>
      <family val="2"/>
    </font>
    <font>
      <b/>
      <sz val="24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</font>
    <font>
      <b/>
      <sz val="16"/>
      <color theme="0"/>
      <name val="Calibri"/>
      <family val="2"/>
    </font>
    <font>
      <sz val="9"/>
      <name val="Calibri"/>
      <family val="2"/>
    </font>
    <font>
      <sz val="9"/>
      <name val="Arial"/>
      <family val="2"/>
    </font>
    <font>
      <sz val="11"/>
      <color theme="5" tint="0.59999389629810485"/>
      <name val="Calibri"/>
      <family val="2"/>
      <scheme val="minor"/>
    </font>
    <font>
      <i/>
      <sz val="11"/>
      <name val="Calibri"/>
      <family val="2"/>
    </font>
    <font>
      <b/>
      <sz val="24"/>
      <name val="Calibri"/>
      <family val="2"/>
      <scheme val="minor"/>
    </font>
    <font>
      <b/>
      <sz val="1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9" fontId="6" fillId="0" borderId="1">
      <alignment vertical="center" wrapText="1"/>
    </xf>
    <xf numFmtId="9" fontId="7" fillId="0" borderId="0" applyFont="0" applyFill="0" applyBorder="0" applyAlignment="0" applyProtection="0"/>
    <xf numFmtId="0" fontId="12" fillId="5" borderId="18" applyNumberFormat="0" applyAlignment="0" applyProtection="0"/>
    <xf numFmtId="43" fontId="7" fillId="0" borderId="0" applyFont="0" applyFill="0" applyBorder="0" applyAlignment="0" applyProtection="0"/>
  </cellStyleXfs>
  <cellXfs count="793">
    <xf numFmtId="0" fontId="0" fillId="0" borderId="0" xfId="0"/>
    <xf numFmtId="44" fontId="7" fillId="0" borderId="0" xfId="1" applyFont="1"/>
    <xf numFmtId="0" fontId="0" fillId="0" borderId="0" xfId="0"/>
    <xf numFmtId="0" fontId="0" fillId="0" borderId="0" xfId="0" applyAlignment="1"/>
    <xf numFmtId="0" fontId="2" fillId="0" borderId="0" xfId="0" applyNumberFormat="1" applyFont="1" applyFill="1" applyBorder="1" applyAlignment="1" applyProtection="1"/>
    <xf numFmtId="165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/>
    </xf>
    <xf numFmtId="0" fontId="1" fillId="0" borderId="5" xfId="0" applyNumberFormat="1" applyFont="1" applyFill="1" applyBorder="1" applyAlignment="1" applyProtection="1"/>
    <xf numFmtId="0" fontId="0" fillId="0" borderId="0" xfId="0" applyAlignment="1">
      <alignment wrapText="1"/>
    </xf>
    <xf numFmtId="0" fontId="0" fillId="0" borderId="1" xfId="0" applyBorder="1"/>
    <xf numFmtId="0" fontId="0" fillId="0" borderId="5" xfId="0" applyBorder="1"/>
    <xf numFmtId="0" fontId="0" fillId="3" borderId="0" xfId="0" applyFill="1" applyBorder="1" applyAlignment="1">
      <alignment horizontal="right"/>
    </xf>
    <xf numFmtId="0" fontId="0" fillId="3" borderId="0" xfId="0" applyFill="1" applyBorder="1"/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/>
    <xf numFmtId="165" fontId="7" fillId="3" borderId="0" xfId="1" applyNumberFormat="1" applyFont="1" applyFill="1"/>
    <xf numFmtId="0" fontId="2" fillId="3" borderId="0" xfId="0" applyNumberFormat="1" applyFont="1" applyFill="1" applyBorder="1" applyAlignment="1" applyProtection="1"/>
    <xf numFmtId="7" fontId="0" fillId="3" borderId="0" xfId="0" applyNumberFormat="1" applyFill="1"/>
    <xf numFmtId="7" fontId="18" fillId="3" borderId="0" xfId="0" applyNumberFormat="1" applyFont="1" applyFill="1" applyBorder="1"/>
    <xf numFmtId="0" fontId="18" fillId="3" borderId="0" xfId="0" applyFont="1" applyFill="1" applyBorder="1"/>
    <xf numFmtId="5" fontId="1" fillId="0" borderId="15" xfId="1" applyNumberFormat="1" applyFont="1" applyFill="1" applyBorder="1" applyAlignment="1" applyProtection="1"/>
    <xf numFmtId="5" fontId="1" fillId="0" borderId="13" xfId="1" applyNumberFormat="1" applyFont="1" applyFill="1" applyBorder="1" applyAlignment="1" applyProtection="1"/>
    <xf numFmtId="5" fontId="1" fillId="0" borderId="11" xfId="1" applyNumberFormat="1" applyFont="1" applyFill="1" applyBorder="1" applyAlignment="1" applyProtection="1"/>
    <xf numFmtId="5" fontId="1" fillId="2" borderId="6" xfId="1" applyNumberFormat="1" applyFont="1" applyFill="1" applyBorder="1" applyAlignment="1" applyProtection="1"/>
    <xf numFmtId="0" fontId="19" fillId="3" borderId="0" xfId="0" applyFont="1" applyFill="1"/>
    <xf numFmtId="0" fontId="21" fillId="8" borderId="37" xfId="0" applyFont="1" applyFill="1" applyBorder="1"/>
    <xf numFmtId="0" fontId="21" fillId="8" borderId="27" xfId="0" applyFont="1" applyFill="1" applyBorder="1"/>
    <xf numFmtId="0" fontId="21" fillId="0" borderId="0" xfId="0" applyFont="1" applyFill="1" applyBorder="1" applyAlignment="1"/>
    <xf numFmtId="0" fontId="21" fillId="8" borderId="3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9" borderId="33" xfId="0" applyFont="1" applyFill="1" applyBorder="1"/>
    <xf numFmtId="0" fontId="0" fillId="9" borderId="35" xfId="0" applyFill="1" applyBorder="1"/>
    <xf numFmtId="0" fontId="22" fillId="0" borderId="0" xfId="0" applyFont="1" applyBorder="1"/>
    <xf numFmtId="0" fontId="22" fillId="0" borderId="38" xfId="0" applyFont="1" applyBorder="1" applyAlignment="1">
      <alignment horizontal="left"/>
    </xf>
    <xf numFmtId="0" fontId="22" fillId="0" borderId="35" xfId="0" applyFont="1" applyBorder="1"/>
    <xf numFmtId="0" fontId="22" fillId="0" borderId="0" xfId="0" applyFont="1"/>
    <xf numFmtId="0" fontId="0" fillId="0" borderId="4" xfId="0" applyBorder="1" applyAlignment="1">
      <alignment horizontal="right"/>
    </xf>
    <xf numFmtId="165" fontId="0" fillId="0" borderId="5" xfId="0" applyNumberFormat="1" applyBorder="1"/>
    <xf numFmtId="0" fontId="22" fillId="0" borderId="4" xfId="0" applyFont="1" applyBorder="1" applyAlignment="1">
      <alignment horizontal="right"/>
    </xf>
    <xf numFmtId="0" fontId="22" fillId="0" borderId="29" xfId="0" applyFont="1" applyBorder="1" applyAlignment="1">
      <alignment horizontal="left"/>
    </xf>
    <xf numFmtId="0" fontId="22" fillId="0" borderId="5" xfId="0" applyFont="1" applyBorder="1"/>
    <xf numFmtId="0" fontId="0" fillId="6" borderId="4" xfId="0" applyFill="1" applyBorder="1" applyAlignment="1">
      <alignment horizontal="left"/>
    </xf>
    <xf numFmtId="0" fontId="21" fillId="9" borderId="4" xfId="0" applyFont="1" applyFill="1" applyBorder="1"/>
    <xf numFmtId="0" fontId="0" fillId="9" borderId="5" xfId="0" applyFill="1" applyBorder="1"/>
    <xf numFmtId="165" fontId="22" fillId="0" borderId="5" xfId="0" applyNumberFormat="1" applyFont="1" applyFill="1" applyBorder="1"/>
    <xf numFmtId="0" fontId="21" fillId="9" borderId="4" xfId="0" applyFont="1" applyFill="1" applyBorder="1" applyAlignment="1">
      <alignment horizontal="left"/>
    </xf>
    <xf numFmtId="0" fontId="0" fillId="6" borderId="8" xfId="0" applyFill="1" applyBorder="1" applyAlignment="1">
      <alignment horizontal="left"/>
    </xf>
    <xf numFmtId="165" fontId="0" fillId="0" borderId="10" xfId="0" applyNumberFormat="1" applyBorder="1"/>
    <xf numFmtId="0" fontId="0" fillId="9" borderId="4" xfId="0" applyFill="1" applyBorder="1" applyAlignment="1">
      <alignment horizontal="left"/>
    </xf>
    <xf numFmtId="0" fontId="22" fillId="0" borderId="4" xfId="0" applyFont="1" applyFill="1" applyBorder="1" applyAlignment="1">
      <alignment horizontal="left"/>
    </xf>
    <xf numFmtId="0" fontId="21" fillId="0" borderId="37" xfId="0" applyFont="1" applyFill="1" applyBorder="1" applyAlignment="1">
      <alignment horizontal="left"/>
    </xf>
    <xf numFmtId="165" fontId="21" fillId="0" borderId="37" xfId="0" applyNumberFormat="1" applyFont="1" applyBorder="1"/>
    <xf numFmtId="0" fontId="21" fillId="0" borderId="39" xfId="0" applyFont="1" applyBorder="1"/>
    <xf numFmtId="165" fontId="21" fillId="0" borderId="31" xfId="0" applyNumberFormat="1" applyFont="1" applyBorder="1"/>
    <xf numFmtId="0" fontId="0" fillId="0" borderId="0" xfId="0" applyAlignment="1">
      <alignment horizontal="right"/>
    </xf>
    <xf numFmtId="0" fontId="24" fillId="0" borderId="0" xfId="0" applyFont="1" applyBorder="1"/>
    <xf numFmtId="165" fontId="24" fillId="0" borderId="0" xfId="0" applyNumberFormat="1" applyFont="1" applyBorder="1"/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21" fillId="0" borderId="0" xfId="0" applyFont="1"/>
    <xf numFmtId="0" fontId="22" fillId="0" borderId="40" xfId="0" applyFont="1" applyBorder="1" applyAlignment="1">
      <alignment horizontal="left"/>
    </xf>
    <xf numFmtId="0" fontId="22" fillId="0" borderId="7" xfId="0" applyFont="1" applyBorder="1"/>
    <xf numFmtId="0" fontId="0" fillId="0" borderId="32" xfId="0" applyBorder="1" applyAlignment="1">
      <alignment horizontal="right"/>
    </xf>
    <xf numFmtId="165" fontId="0" fillId="0" borderId="31" xfId="0" applyNumberFormat="1" applyBorder="1"/>
    <xf numFmtId="0" fontId="0" fillId="0" borderId="26" xfId="0" applyBorder="1" applyAlignment="1"/>
    <xf numFmtId="0" fontId="0" fillId="0" borderId="31" xfId="0" applyBorder="1"/>
    <xf numFmtId="0" fontId="33" fillId="0" borderId="0" xfId="0" applyFont="1"/>
    <xf numFmtId="44" fontId="0" fillId="0" borderId="0" xfId="1" applyFont="1"/>
    <xf numFmtId="44" fontId="0" fillId="3" borderId="0" xfId="1" applyFont="1" applyFill="1" applyBorder="1"/>
    <xf numFmtId="44" fontId="0" fillId="3" borderId="0" xfId="1" applyFont="1" applyFill="1"/>
    <xf numFmtId="0" fontId="21" fillId="8" borderId="26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65" fontId="35" fillId="0" borderId="35" xfId="0" applyNumberFormat="1" applyFont="1" applyBorder="1"/>
    <xf numFmtId="165" fontId="35" fillId="0" borderId="5" xfId="0" applyNumberFormat="1" applyFont="1" applyBorder="1"/>
    <xf numFmtId="0" fontId="21" fillId="8" borderId="1" xfId="0" applyFont="1" applyFill="1" applyBorder="1"/>
    <xf numFmtId="165" fontId="22" fillId="0" borderId="1" xfId="0" applyNumberFormat="1" applyFont="1" applyBorder="1"/>
    <xf numFmtId="165" fontId="0" fillId="0" borderId="1" xfId="0" applyNumberFormat="1" applyBorder="1"/>
    <xf numFmtId="0" fontId="24" fillId="0" borderId="4" xfId="0" applyFont="1" applyBorder="1" applyAlignment="1"/>
    <xf numFmtId="0" fontId="24" fillId="0" borderId="30" xfId="0" applyFont="1" applyBorder="1" applyAlignment="1"/>
    <xf numFmtId="0" fontId="24" fillId="0" borderId="4" xfId="0" applyFont="1" applyBorder="1" applyAlignment="1">
      <alignment vertical="center"/>
    </xf>
    <xf numFmtId="0" fontId="24" fillId="0" borderId="8" xfId="0" applyFont="1" applyBorder="1" applyAlignment="1"/>
    <xf numFmtId="0" fontId="24" fillId="0" borderId="33" xfId="0" applyFont="1" applyBorder="1" applyAlignment="1"/>
    <xf numFmtId="0" fontId="36" fillId="0" borderId="4" xfId="0" applyFont="1" applyBorder="1" applyAlignment="1"/>
    <xf numFmtId="0" fontId="24" fillId="0" borderId="29" xfId="0" applyFont="1" applyBorder="1" applyAlignment="1">
      <alignment horizontal="left"/>
    </xf>
    <xf numFmtId="0" fontId="10" fillId="0" borderId="0" xfId="0" applyFont="1" applyFill="1" applyBorder="1"/>
    <xf numFmtId="0" fontId="0" fillId="0" borderId="0" xfId="0" applyFill="1" applyBorder="1"/>
    <xf numFmtId="0" fontId="19" fillId="3" borderId="0" xfId="0" applyFont="1" applyFill="1" applyBorder="1" applyAlignment="1">
      <alignment horizontal="center"/>
    </xf>
    <xf numFmtId="0" fontId="19" fillId="3" borderId="0" xfId="0" applyFont="1" applyFill="1" applyBorder="1"/>
    <xf numFmtId="0" fontId="14" fillId="0" borderId="26" xfId="0" applyFont="1" applyBorder="1" applyAlignment="1"/>
    <xf numFmtId="166" fontId="0" fillId="0" borderId="0" xfId="0" applyNumberFormat="1" applyFill="1" applyBorder="1" applyAlignment="1"/>
    <xf numFmtId="0" fontId="0" fillId="0" borderId="0" xfId="1" applyNumberFormat="1" applyFont="1" applyFill="1" applyBorder="1" applyAlignment="1">
      <alignment horizontal="left"/>
    </xf>
    <xf numFmtId="0" fontId="9" fillId="13" borderId="43" xfId="0" applyFont="1" applyFill="1" applyBorder="1" applyAlignment="1"/>
    <xf numFmtId="0" fontId="9" fillId="13" borderId="0" xfId="0" applyFont="1" applyFill="1" applyBorder="1" applyAlignment="1"/>
    <xf numFmtId="165" fontId="9" fillId="13" borderId="44" xfId="1" applyNumberFormat="1" applyFont="1" applyFill="1" applyBorder="1" applyAlignment="1"/>
    <xf numFmtId="0" fontId="10" fillId="13" borderId="43" xfId="0" applyFont="1" applyFill="1" applyBorder="1" applyAlignment="1">
      <alignment horizontal="right"/>
    </xf>
    <xf numFmtId="0" fontId="0" fillId="13" borderId="0" xfId="0" applyFill="1" applyBorder="1"/>
    <xf numFmtId="0" fontId="10" fillId="14" borderId="43" xfId="0" applyFont="1" applyFill="1" applyBorder="1" applyAlignment="1">
      <alignment horizontal="right"/>
    </xf>
    <xf numFmtId="0" fontId="0" fillId="14" borderId="3" xfId="0" applyFill="1" applyBorder="1" applyAlignment="1">
      <alignment horizontal="left"/>
    </xf>
    <xf numFmtId="0" fontId="0" fillId="14" borderId="0" xfId="0" applyFill="1" applyBorder="1"/>
    <xf numFmtId="166" fontId="0" fillId="14" borderId="44" xfId="0" applyNumberFormat="1" applyFill="1" applyBorder="1" applyAlignment="1"/>
    <xf numFmtId="0" fontId="0" fillId="13" borderId="2" xfId="0" applyFill="1" applyBorder="1" applyAlignment="1">
      <alignment horizontal="left"/>
    </xf>
    <xf numFmtId="0" fontId="0" fillId="13" borderId="44" xfId="0" applyFill="1" applyBorder="1" applyAlignment="1"/>
    <xf numFmtId="0" fontId="10" fillId="14" borderId="45" xfId="0" applyFont="1" applyFill="1" applyBorder="1" applyAlignment="1">
      <alignment horizontal="right"/>
    </xf>
    <xf numFmtId="0" fontId="0" fillId="14" borderId="46" xfId="0" applyFill="1" applyBorder="1" applyAlignment="1">
      <alignment horizontal="left"/>
    </xf>
    <xf numFmtId="0" fontId="0" fillId="14" borderId="46" xfId="0" applyFill="1" applyBorder="1"/>
    <xf numFmtId="166" fontId="0" fillId="14" borderId="47" xfId="0" applyNumberFormat="1" applyFill="1" applyBorder="1" applyAlignment="1"/>
    <xf numFmtId="0" fontId="10" fillId="0" borderId="0" xfId="0" applyFont="1" applyFill="1" applyBorder="1" applyAlignment="1">
      <alignment horizontal="right"/>
    </xf>
    <xf numFmtId="0" fontId="15" fillId="12" borderId="45" xfId="0" applyFont="1" applyFill="1" applyBorder="1" applyAlignment="1">
      <alignment horizontal="center" vertical="center"/>
    </xf>
    <xf numFmtId="0" fontId="38" fillId="12" borderId="46" xfId="0" applyFont="1" applyFill="1" applyBorder="1" applyAlignment="1">
      <alignment horizontal="center" vertical="center"/>
    </xf>
    <xf numFmtId="0" fontId="15" fillId="12" borderId="46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" fillId="18" borderId="53" xfId="0" applyNumberFormat="1" applyFont="1" applyFill="1" applyBorder="1" applyAlignment="1" applyProtection="1">
      <alignment horizontal="left" vertical="top"/>
    </xf>
    <xf numFmtId="0" fontId="1" fillId="19" borderId="54" xfId="0" applyNumberFormat="1" applyFont="1" applyFill="1" applyBorder="1" applyAlignment="1" applyProtection="1">
      <alignment horizontal="left" vertical="top" wrapText="1"/>
    </xf>
    <xf numFmtId="0" fontId="1" fillId="19" borderId="1" xfId="0" applyNumberFormat="1" applyFont="1" applyFill="1" applyBorder="1" applyAlignment="1" applyProtection="1">
      <alignment horizontal="center" vertical="center"/>
    </xf>
    <xf numFmtId="0" fontId="1" fillId="19" borderId="1" xfId="0" applyNumberFormat="1" applyFont="1" applyFill="1" applyBorder="1" applyAlignment="1" applyProtection="1">
      <alignment horizontal="center" vertical="center" wrapText="1"/>
    </xf>
    <xf numFmtId="0" fontId="1" fillId="19" borderId="53" xfId="0" applyNumberFormat="1" applyFont="1" applyFill="1" applyBorder="1" applyAlignment="1" applyProtection="1">
      <alignment horizontal="left" vertical="top"/>
    </xf>
    <xf numFmtId="0" fontId="1" fillId="20" borderId="54" xfId="0" applyNumberFormat="1" applyFont="1" applyFill="1" applyBorder="1" applyAlignment="1" applyProtection="1">
      <alignment horizontal="left" vertical="top" wrapText="1"/>
    </xf>
    <xf numFmtId="0" fontId="1" fillId="20" borderId="1" xfId="0" applyNumberFormat="1" applyFont="1" applyFill="1" applyBorder="1" applyAlignment="1" applyProtection="1">
      <alignment horizontal="center" vertical="center"/>
    </xf>
    <xf numFmtId="0" fontId="1" fillId="20" borderId="1" xfId="0" applyNumberFormat="1" applyFont="1" applyFill="1" applyBorder="1" applyAlignment="1" applyProtection="1">
      <alignment horizontal="center" vertical="center" wrapText="1"/>
    </xf>
    <xf numFmtId="0" fontId="1" fillId="20" borderId="53" xfId="0" applyNumberFormat="1" applyFont="1" applyFill="1" applyBorder="1" applyAlignment="1" applyProtection="1">
      <alignment horizontal="left" vertical="top"/>
    </xf>
    <xf numFmtId="0" fontId="14" fillId="21" borderId="61" xfId="0" applyFont="1" applyFill="1" applyBorder="1" applyAlignment="1">
      <alignment horizontal="center" vertical="center"/>
    </xf>
    <xf numFmtId="0" fontId="14" fillId="21" borderId="25" xfId="0" applyFont="1" applyFill="1" applyBorder="1" applyAlignment="1">
      <alignment horizontal="center" vertical="center"/>
    </xf>
    <xf numFmtId="165" fontId="14" fillId="21" borderId="62" xfId="1" applyNumberFormat="1" applyFont="1" applyFill="1" applyBorder="1" applyAlignment="1">
      <alignment horizontal="center" vertical="center"/>
    </xf>
    <xf numFmtId="0" fontId="1" fillId="19" borderId="11" xfId="0" applyNumberFormat="1" applyFont="1" applyFill="1" applyBorder="1" applyAlignment="1" applyProtection="1">
      <alignment horizontal="center" vertical="center"/>
    </xf>
    <xf numFmtId="0" fontId="1" fillId="19" borderId="11" xfId="0" applyNumberFormat="1" applyFont="1" applyFill="1" applyBorder="1" applyAlignment="1" applyProtection="1">
      <alignment horizontal="center" vertical="center" wrapText="1"/>
    </xf>
    <xf numFmtId="0" fontId="1" fillId="19" borderId="60" xfId="0" applyNumberFormat="1" applyFont="1" applyFill="1" applyBorder="1" applyAlignment="1" applyProtection="1">
      <alignment horizontal="left" vertical="top"/>
    </xf>
    <xf numFmtId="0" fontId="1" fillId="19" borderId="54" xfId="0" applyNumberFormat="1" applyFont="1" applyFill="1" applyBorder="1" applyAlignment="1" applyProtection="1">
      <alignment horizontal="left" vertical="top" wrapText="1" indent="3"/>
    </xf>
    <xf numFmtId="0" fontId="0" fillId="20" borderId="11" xfId="0" applyFill="1" applyBorder="1" applyAlignment="1">
      <alignment horizontal="center" vertical="center"/>
    </xf>
    <xf numFmtId="0" fontId="1" fillId="20" borderId="11" xfId="0" applyNumberFormat="1" applyFont="1" applyFill="1" applyBorder="1" applyAlignment="1" applyProtection="1">
      <alignment horizontal="center"/>
    </xf>
    <xf numFmtId="0" fontId="2" fillId="20" borderId="11" xfId="0" applyNumberFormat="1" applyFont="1" applyFill="1" applyBorder="1" applyAlignment="1" applyProtection="1">
      <alignment horizontal="center" vertical="center"/>
    </xf>
    <xf numFmtId="0" fontId="1" fillId="20" borderId="52" xfId="0" applyNumberFormat="1" applyFont="1" applyFill="1" applyBorder="1" applyAlignment="1" applyProtection="1">
      <alignment horizontal="left" vertical="top" wrapText="1" indent="3"/>
    </xf>
    <xf numFmtId="0" fontId="2" fillId="20" borderId="1" xfId="0" applyNumberFormat="1" applyFont="1" applyFill="1" applyBorder="1" applyAlignment="1" applyProtection="1">
      <alignment horizontal="center" vertical="center"/>
    </xf>
    <xf numFmtId="0" fontId="1" fillId="20" borderId="52" xfId="0" applyNumberFormat="1" applyFont="1" applyFill="1" applyBorder="1" applyAlignment="1" applyProtection="1">
      <alignment horizontal="left" vertical="top" wrapText="1"/>
    </xf>
    <xf numFmtId="0" fontId="2" fillId="19" borderId="11" xfId="0" applyNumberFormat="1" applyFont="1" applyFill="1" applyBorder="1" applyAlignment="1" applyProtection="1">
      <alignment horizontal="center" vertical="center"/>
    </xf>
    <xf numFmtId="0" fontId="1" fillId="19" borderId="52" xfId="0" applyNumberFormat="1" applyFont="1" applyFill="1" applyBorder="1" applyAlignment="1" applyProtection="1">
      <alignment horizontal="left" vertical="top" wrapText="1"/>
    </xf>
    <xf numFmtId="0" fontId="2" fillId="19" borderId="1" xfId="0" applyNumberFormat="1" applyFont="1" applyFill="1" applyBorder="1" applyAlignment="1" applyProtection="1">
      <alignment horizontal="center" vertical="center"/>
    </xf>
    <xf numFmtId="0" fontId="14" fillId="22" borderId="61" xfId="0" applyFont="1" applyFill="1" applyBorder="1" applyAlignment="1">
      <alignment horizontal="center" vertical="center"/>
    </xf>
    <xf numFmtId="0" fontId="14" fillId="22" borderId="25" xfId="0" applyFont="1" applyFill="1" applyBorder="1" applyAlignment="1">
      <alignment horizontal="center" vertical="center"/>
    </xf>
    <xf numFmtId="165" fontId="14" fillId="22" borderId="62" xfId="1" applyNumberFormat="1" applyFont="1" applyFill="1" applyBorder="1" applyAlignment="1">
      <alignment horizontal="center" vertical="center"/>
    </xf>
    <xf numFmtId="0" fontId="1" fillId="23" borderId="52" xfId="0" applyNumberFormat="1" applyFont="1" applyFill="1" applyBorder="1" applyAlignment="1" applyProtection="1">
      <alignment wrapText="1"/>
    </xf>
    <xf numFmtId="0" fontId="1" fillId="23" borderId="1" xfId="0" applyNumberFormat="1" applyFont="1" applyFill="1" applyBorder="1" applyAlignment="1" applyProtection="1">
      <alignment horizontal="center" wrapText="1"/>
    </xf>
    <xf numFmtId="0" fontId="1" fillId="23" borderId="53" xfId="0" applyNumberFormat="1" applyFont="1" applyFill="1" applyBorder="1" applyAlignment="1" applyProtection="1">
      <alignment horizontal="left" vertical="top"/>
    </xf>
    <xf numFmtId="0" fontId="1" fillId="23" borderId="54" xfId="0" applyNumberFormat="1" applyFont="1" applyFill="1" applyBorder="1" applyAlignment="1" applyProtection="1">
      <alignment wrapText="1"/>
    </xf>
    <xf numFmtId="0" fontId="1" fillId="23" borderId="11" xfId="0" applyNumberFormat="1" applyFont="1" applyFill="1" applyBorder="1" applyAlignment="1" applyProtection="1">
      <alignment horizontal="center"/>
    </xf>
    <xf numFmtId="0" fontId="0" fillId="23" borderId="1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/>
    </xf>
    <xf numFmtId="0" fontId="1" fillId="24" borderId="54" xfId="0" applyNumberFormat="1" applyFont="1" applyFill="1" applyBorder="1" applyAlignment="1" applyProtection="1">
      <alignment wrapText="1"/>
    </xf>
    <xf numFmtId="0" fontId="0" fillId="24" borderId="11" xfId="0" applyFill="1" applyBorder="1" applyAlignment="1">
      <alignment horizontal="center" vertical="center"/>
    </xf>
    <xf numFmtId="0" fontId="1" fillId="24" borderId="11" xfId="0" applyNumberFormat="1" applyFont="1" applyFill="1" applyBorder="1" applyAlignment="1" applyProtection="1">
      <alignment horizontal="center"/>
    </xf>
    <xf numFmtId="0" fontId="1" fillId="24" borderId="53" xfId="0" applyNumberFormat="1" applyFont="1" applyFill="1" applyBorder="1" applyAlignment="1" applyProtection="1">
      <alignment horizontal="left" vertical="top"/>
    </xf>
    <xf numFmtId="0" fontId="0" fillId="24" borderId="11" xfId="0" applyFill="1" applyBorder="1" applyAlignment="1">
      <alignment horizontal="center"/>
    </xf>
    <xf numFmtId="0" fontId="1" fillId="24" borderId="52" xfId="0" applyNumberFormat="1" applyFont="1" applyFill="1" applyBorder="1" applyAlignment="1" applyProtection="1">
      <alignment wrapText="1"/>
    </xf>
    <xf numFmtId="0" fontId="0" fillId="24" borderId="1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/>
    </xf>
    <xf numFmtId="0" fontId="14" fillId="16" borderId="61" xfId="0" applyFont="1" applyFill="1" applyBorder="1" applyAlignment="1">
      <alignment horizontal="center" vertical="center"/>
    </xf>
    <xf numFmtId="0" fontId="14" fillId="16" borderId="25" xfId="0" applyFont="1" applyFill="1" applyBorder="1" applyAlignment="1">
      <alignment horizontal="center" vertical="center"/>
    </xf>
    <xf numFmtId="165" fontId="14" fillId="16" borderId="62" xfId="1" applyNumberFormat="1" applyFont="1" applyFill="1" applyBorder="1" applyAlignment="1">
      <alignment horizontal="center" vertical="center"/>
    </xf>
    <xf numFmtId="0" fontId="14" fillId="11" borderId="61" xfId="0" applyFont="1" applyFill="1" applyBorder="1" applyAlignment="1">
      <alignment horizontal="center" vertical="center"/>
    </xf>
    <xf numFmtId="0" fontId="14" fillId="11" borderId="25" xfId="0" applyFont="1" applyFill="1" applyBorder="1" applyAlignment="1">
      <alignment horizontal="center" vertical="center"/>
    </xf>
    <xf numFmtId="165" fontId="14" fillId="11" borderId="62" xfId="1" applyNumberFormat="1" applyFont="1" applyFill="1" applyBorder="1" applyAlignment="1">
      <alignment horizontal="center" vertical="center"/>
    </xf>
    <xf numFmtId="0" fontId="0" fillId="18" borderId="54" xfId="0" applyFont="1" applyFill="1" applyBorder="1"/>
    <xf numFmtId="0" fontId="0" fillId="18" borderId="11" xfId="0" applyFill="1" applyBorder="1" applyAlignment="1">
      <alignment horizontal="center" vertical="center"/>
    </xf>
    <xf numFmtId="0" fontId="1" fillId="18" borderId="11" xfId="0" applyNumberFormat="1" applyFont="1" applyFill="1" applyBorder="1" applyAlignment="1" applyProtection="1">
      <alignment horizontal="center"/>
    </xf>
    <xf numFmtId="0" fontId="0" fillId="25" borderId="52" xfId="0" applyFill="1" applyBorder="1"/>
    <xf numFmtId="0" fontId="0" fillId="26" borderId="54" xfId="0" applyFont="1" applyFill="1" applyBorder="1"/>
    <xf numFmtId="0" fontId="0" fillId="26" borderId="11" xfId="0" applyFill="1" applyBorder="1" applyAlignment="1">
      <alignment horizontal="center" vertical="center"/>
    </xf>
    <xf numFmtId="0" fontId="1" fillId="26" borderId="11" xfId="0" applyNumberFormat="1" applyFont="1" applyFill="1" applyBorder="1" applyAlignment="1" applyProtection="1">
      <alignment horizontal="center"/>
    </xf>
    <xf numFmtId="0" fontId="1" fillId="26" borderId="53" xfId="0" applyNumberFormat="1" applyFont="1" applyFill="1" applyBorder="1" applyAlignment="1" applyProtection="1">
      <alignment horizontal="left" vertical="top"/>
    </xf>
    <xf numFmtId="0" fontId="0" fillId="25" borderId="1" xfId="0" applyFill="1" applyBorder="1"/>
    <xf numFmtId="0" fontId="0" fillId="17" borderId="52" xfId="0" applyFill="1" applyBorder="1"/>
    <xf numFmtId="0" fontId="0" fillId="25" borderId="63" xfId="0" applyFill="1" applyBorder="1"/>
    <xf numFmtId="0" fontId="0" fillId="17" borderId="1" xfId="0" applyFont="1" applyFill="1" applyBorder="1" applyAlignment="1">
      <alignment horizontal="center" vertical="center"/>
    </xf>
    <xf numFmtId="0" fontId="0" fillId="25" borderId="1" xfId="0" applyFont="1" applyFill="1" applyBorder="1" applyAlignment="1">
      <alignment horizontal="center" vertical="center"/>
    </xf>
    <xf numFmtId="0" fontId="0" fillId="25" borderId="53" xfId="0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 applyProtection="1">
      <alignment wrapText="1"/>
    </xf>
    <xf numFmtId="44" fontId="43" fillId="21" borderId="53" xfId="1" applyFont="1" applyFill="1" applyBorder="1"/>
    <xf numFmtId="44" fontId="43" fillId="22" borderId="53" xfId="1" applyFont="1" applyFill="1" applyBorder="1"/>
    <xf numFmtId="44" fontId="43" fillId="11" borderId="53" xfId="1" applyFont="1" applyFill="1" applyBorder="1"/>
    <xf numFmtId="44" fontId="43" fillId="16" borderId="53" xfId="1" applyFont="1" applyFill="1" applyBorder="1"/>
    <xf numFmtId="0" fontId="37" fillId="21" borderId="52" xfId="0" applyFont="1" applyFill="1" applyBorder="1" applyAlignment="1">
      <alignment horizontal="right"/>
    </xf>
    <xf numFmtId="0" fontId="37" fillId="22" borderId="52" xfId="0" applyFont="1" applyFill="1" applyBorder="1" applyAlignment="1">
      <alignment horizontal="right"/>
    </xf>
    <xf numFmtId="0" fontId="37" fillId="11" borderId="52" xfId="0" applyFont="1" applyFill="1" applyBorder="1" applyAlignment="1">
      <alignment horizontal="right"/>
    </xf>
    <xf numFmtId="0" fontId="37" fillId="16" borderId="52" xfId="0" applyFont="1" applyFill="1" applyBorder="1" applyAlignment="1">
      <alignment horizontal="right"/>
    </xf>
    <xf numFmtId="44" fontId="44" fillId="10" borderId="65" xfId="1" applyFont="1" applyFill="1" applyBorder="1"/>
    <xf numFmtId="0" fontId="44" fillId="10" borderId="56" xfId="0" applyFont="1" applyFill="1" applyBorder="1" applyAlignment="1">
      <alignment horizontal="right"/>
    </xf>
    <xf numFmtId="167" fontId="0" fillId="0" borderId="0" xfId="3" applyNumberFormat="1" applyFont="1" applyFill="1" applyBorder="1"/>
    <xf numFmtId="44" fontId="0" fillId="0" borderId="0" xfId="1" applyFont="1" applyFill="1" applyBorder="1"/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44" fontId="13" fillId="0" borderId="25" xfId="1" applyFont="1" applyBorder="1" applyAlignment="1">
      <alignment horizontal="center" vertical="center"/>
    </xf>
    <xf numFmtId="165" fontId="13" fillId="0" borderId="25" xfId="1" applyNumberFormat="1" applyFont="1" applyBorder="1" applyAlignment="1">
      <alignment horizontal="center" vertical="center"/>
    </xf>
    <xf numFmtId="44" fontId="13" fillId="0" borderId="25" xfId="0" applyNumberFormat="1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 wrapText="1"/>
    </xf>
    <xf numFmtId="0" fontId="0" fillId="0" borderId="70" xfId="0" applyBorder="1"/>
    <xf numFmtId="0" fontId="15" fillId="0" borderId="67" xfId="0" applyFont="1" applyBorder="1" applyAlignment="1">
      <alignment vertical="top" wrapText="1"/>
    </xf>
    <xf numFmtId="0" fontId="0" fillId="4" borderId="73" xfId="0" applyFill="1" applyBorder="1"/>
    <xf numFmtId="0" fontId="0" fillId="0" borderId="76" xfId="0" applyFill="1" applyBorder="1"/>
    <xf numFmtId="0" fontId="0" fillId="0" borderId="73" xfId="0" applyFill="1" applyBorder="1"/>
    <xf numFmtId="0" fontId="15" fillId="0" borderId="77" xfId="0" applyFont="1" applyFill="1" applyBorder="1" applyAlignment="1">
      <alignment wrapText="1"/>
    </xf>
    <xf numFmtId="0" fontId="15" fillId="0" borderId="72" xfId="0" applyFont="1" applyFill="1" applyBorder="1" applyAlignment="1">
      <alignment wrapText="1"/>
    </xf>
    <xf numFmtId="0" fontId="14" fillId="0" borderId="72" xfId="0" applyFont="1" applyFill="1" applyBorder="1" applyAlignment="1" applyProtection="1">
      <alignment wrapText="1"/>
      <protection locked="0"/>
    </xf>
    <xf numFmtId="0" fontId="16" fillId="0" borderId="72" xfId="0" applyFont="1" applyFill="1" applyBorder="1" applyAlignment="1"/>
    <xf numFmtId="0" fontId="0" fillId="0" borderId="70" xfId="0" applyFill="1" applyBorder="1"/>
    <xf numFmtId="0" fontId="15" fillId="0" borderId="72" xfId="0" applyFont="1" applyBorder="1" applyAlignment="1"/>
    <xf numFmtId="0" fontId="0" fillId="0" borderId="71" xfId="0" applyBorder="1" applyAlignment="1">
      <alignment horizontal="center"/>
    </xf>
    <xf numFmtId="0" fontId="34" fillId="10" borderId="1" xfId="4" applyFont="1" applyFill="1" applyBorder="1" applyAlignment="1">
      <alignment horizontal="center"/>
    </xf>
    <xf numFmtId="44" fontId="34" fillId="10" borderId="1" xfId="1" applyFont="1" applyFill="1" applyBorder="1"/>
    <xf numFmtId="167" fontId="34" fillId="10" borderId="1" xfId="4" applyNumberFormat="1" applyFont="1" applyFill="1" applyBorder="1"/>
    <xf numFmtId="0" fontId="12" fillId="10" borderId="1" xfId="4" applyFill="1" applyBorder="1" applyAlignment="1">
      <alignment horizontal="center"/>
    </xf>
    <xf numFmtId="44" fontId="12" fillId="10" borderId="1" xfId="1" applyFont="1" applyFill="1" applyBorder="1"/>
    <xf numFmtId="167" fontId="12" fillId="10" borderId="1" xfId="4" applyNumberFormat="1" applyFill="1" applyBorder="1"/>
    <xf numFmtId="44" fontId="7" fillId="10" borderId="1" xfId="1" applyFont="1" applyFill="1" applyBorder="1"/>
    <xf numFmtId="167" fontId="7" fillId="10" borderId="1" xfId="1" applyNumberFormat="1" applyFont="1" applyFill="1" applyBorder="1"/>
    <xf numFmtId="0" fontId="0" fillId="10" borderId="6" xfId="0" applyFill="1" applyBorder="1"/>
    <xf numFmtId="44" fontId="7" fillId="10" borderId="6" xfId="1" applyFont="1" applyFill="1" applyBorder="1"/>
    <xf numFmtId="167" fontId="7" fillId="10" borderId="6" xfId="1" applyNumberFormat="1" applyFont="1" applyFill="1" applyBorder="1"/>
    <xf numFmtId="44" fontId="0" fillId="10" borderId="6" xfId="0" applyNumberFormat="1" applyFill="1" applyBorder="1"/>
    <xf numFmtId="44" fontId="7" fillId="10" borderId="1" xfId="1" applyFont="1" applyFill="1" applyBorder="1" applyProtection="1">
      <protection locked="0"/>
    </xf>
    <xf numFmtId="167" fontId="7" fillId="10" borderId="1" xfId="1" applyNumberFormat="1" applyFont="1" applyFill="1" applyBorder="1" applyProtection="1">
      <protection locked="0"/>
    </xf>
    <xf numFmtId="0" fontId="41" fillId="27" borderId="34" xfId="0" applyFont="1" applyFill="1" applyBorder="1" applyAlignment="1">
      <alignment vertical="top" wrapText="1"/>
    </xf>
    <xf numFmtId="0" fontId="41" fillId="27" borderId="34" xfId="0" applyFont="1" applyFill="1" applyBorder="1" applyAlignment="1">
      <alignment wrapText="1"/>
    </xf>
    <xf numFmtId="0" fontId="41" fillId="27" borderId="11" xfId="0" applyFont="1" applyFill="1" applyBorder="1" applyAlignment="1">
      <alignment wrapText="1"/>
    </xf>
    <xf numFmtId="0" fontId="41" fillId="27" borderId="11" xfId="0" applyFont="1" applyFill="1" applyBorder="1" applyAlignment="1">
      <alignment horizontal="center" wrapText="1"/>
    </xf>
    <xf numFmtId="0" fontId="42" fillId="27" borderId="34" xfId="0" applyFont="1" applyFill="1" applyBorder="1" applyAlignment="1" applyProtection="1">
      <alignment wrapText="1"/>
      <protection locked="0"/>
    </xf>
    <xf numFmtId="0" fontId="42" fillId="27" borderId="34" xfId="0" applyFont="1" applyFill="1" applyBorder="1" applyAlignment="1" applyProtection="1">
      <alignment horizontal="center" wrapText="1"/>
      <protection locked="0"/>
    </xf>
    <xf numFmtId="0" fontId="45" fillId="27" borderId="34" xfId="0" applyFont="1" applyFill="1" applyBorder="1" applyAlignment="1"/>
    <xf numFmtId="44" fontId="45" fillId="27" borderId="34" xfId="1" applyFont="1" applyFill="1" applyBorder="1" applyAlignment="1"/>
    <xf numFmtId="167" fontId="45" fillId="27" borderId="34" xfId="0" applyNumberFormat="1" applyFont="1" applyFill="1" applyBorder="1" applyAlignment="1"/>
    <xf numFmtId="0" fontId="0" fillId="0" borderId="71" xfId="0" applyFill="1" applyBorder="1" applyAlignment="1">
      <alignment horizontal="center"/>
    </xf>
    <xf numFmtId="167" fontId="7" fillId="0" borderId="71" xfId="1" applyNumberFormat="1" applyFont="1" applyFill="1" applyBorder="1"/>
    <xf numFmtId="0" fontId="41" fillId="27" borderId="34" xfId="0" applyFont="1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1" xfId="0" applyFill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1" fillId="27" borderId="71" xfId="0" applyFont="1" applyFill="1" applyBorder="1" applyAlignment="1"/>
    <xf numFmtId="165" fontId="7" fillId="0" borderId="69" xfId="1" applyNumberFormat="1" applyFont="1" applyFill="1" applyBorder="1"/>
    <xf numFmtId="165" fontId="7" fillId="0" borderId="78" xfId="1" applyNumberFormat="1" applyFont="1" applyFill="1" applyBorder="1"/>
    <xf numFmtId="165" fontId="7" fillId="10" borderId="1" xfId="1" applyNumberFormat="1" applyFont="1" applyFill="1" applyBorder="1"/>
    <xf numFmtId="0" fontId="0" fillId="4" borderId="83" xfId="0" applyFill="1" applyBorder="1"/>
    <xf numFmtId="165" fontId="7" fillId="10" borderId="6" xfId="1" applyNumberFormat="1" applyFont="1" applyFill="1" applyBorder="1"/>
    <xf numFmtId="0" fontId="0" fillId="0" borderId="82" xfId="0" applyFill="1" applyBorder="1"/>
    <xf numFmtId="44" fontId="7" fillId="10" borderId="6" xfId="1" applyFont="1" applyFill="1" applyBorder="1" applyAlignment="1"/>
    <xf numFmtId="167" fontId="7" fillId="10" borderId="6" xfId="1" applyNumberFormat="1" applyFont="1" applyFill="1" applyBorder="1" applyAlignment="1"/>
    <xf numFmtId="0" fontId="45" fillId="27" borderId="34" xfId="0" applyFont="1" applyFill="1" applyBorder="1" applyAlignment="1">
      <alignment horizontal="center"/>
    </xf>
    <xf numFmtId="0" fontId="17" fillId="0" borderId="71" xfId="0" applyFont="1" applyFill="1" applyBorder="1" applyAlignment="1">
      <alignment horizontal="center"/>
    </xf>
    <xf numFmtId="0" fontId="41" fillId="27" borderId="71" xfId="0" applyFont="1" applyFill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0" fillId="0" borderId="78" xfId="0" applyFill="1" applyBorder="1" applyAlignment="1">
      <alignment horizontal="center"/>
    </xf>
    <xf numFmtId="0" fontId="17" fillId="1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right"/>
    </xf>
    <xf numFmtId="0" fontId="10" fillId="3" borderId="0" xfId="0" applyFont="1" applyFill="1" applyBorder="1"/>
    <xf numFmtId="0" fontId="1" fillId="19" borderId="52" xfId="0" applyNumberFormat="1" applyFont="1" applyFill="1" applyBorder="1" applyAlignment="1" applyProtection="1">
      <alignment horizontal="left" vertical="top" wrapText="1" indent="3"/>
    </xf>
    <xf numFmtId="0" fontId="0" fillId="3" borderId="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5" borderId="64" xfId="0" applyFont="1" applyFill="1" applyBorder="1" applyAlignment="1">
      <alignment horizontal="left" vertical="center"/>
    </xf>
    <xf numFmtId="0" fontId="37" fillId="7" borderId="37" xfId="0" applyFont="1" applyFill="1" applyBorder="1"/>
    <xf numFmtId="165" fontId="0" fillId="6" borderId="1" xfId="0" applyNumberFormat="1" applyFill="1" applyBorder="1" applyAlignment="1">
      <alignment wrapText="1"/>
    </xf>
    <xf numFmtId="0" fontId="0" fillId="28" borderId="1" xfId="0" applyFill="1" applyBorder="1" applyAlignment="1">
      <alignment wrapText="1"/>
    </xf>
    <xf numFmtId="6" fontId="1" fillId="10" borderId="1" xfId="1" applyNumberFormat="1" applyFont="1" applyFill="1" applyBorder="1" applyAlignment="1" applyProtection="1"/>
    <xf numFmtId="0" fontId="3" fillId="0" borderId="67" xfId="0" applyNumberFormat="1" applyFont="1" applyFill="1" applyBorder="1" applyAlignment="1" applyProtection="1">
      <alignment wrapText="1"/>
    </xf>
    <xf numFmtId="0" fontId="3" fillId="0" borderId="70" xfId="0" applyNumberFormat="1" applyFont="1" applyFill="1" applyBorder="1" applyAlignment="1" applyProtection="1">
      <alignment wrapText="1"/>
    </xf>
    <xf numFmtId="0" fontId="2" fillId="2" borderId="69" xfId="0" applyNumberFormat="1" applyFont="1" applyFill="1" applyBorder="1" applyAlignment="1" applyProtection="1">
      <alignment horizontal="center" vertical="center"/>
    </xf>
    <xf numFmtId="0" fontId="2" fillId="0" borderId="89" xfId="0" applyNumberFormat="1" applyFont="1" applyFill="1" applyBorder="1" applyAlignment="1" applyProtection="1">
      <alignment horizontal="center"/>
    </xf>
    <xf numFmtId="0" fontId="2" fillId="0" borderId="69" xfId="0" applyNumberFormat="1" applyFont="1" applyFill="1" applyBorder="1" applyAlignment="1" applyProtection="1">
      <alignment horizontal="center"/>
    </xf>
    <xf numFmtId="165" fontId="2" fillId="0" borderId="69" xfId="0" applyNumberFormat="1" applyFont="1" applyFill="1" applyBorder="1" applyAlignment="1" applyProtection="1"/>
    <xf numFmtId="0" fontId="2" fillId="0" borderId="90" xfId="0" applyNumberFormat="1" applyFont="1" applyFill="1" applyBorder="1" applyAlignment="1" applyProtection="1">
      <alignment horizontal="center"/>
    </xf>
    <xf numFmtId="0" fontId="2" fillId="10" borderId="6" xfId="0" applyNumberFormat="1" applyFont="1" applyFill="1" applyBorder="1" applyAlignment="1" applyProtection="1"/>
    <xf numFmtId="165" fontId="2" fillId="10" borderId="6" xfId="0" applyNumberFormat="1" applyFont="1" applyFill="1" applyBorder="1" applyAlignment="1" applyProtection="1"/>
    <xf numFmtId="168" fontId="2" fillId="10" borderId="6" xfId="0" applyNumberFormat="1" applyFont="1" applyFill="1" applyBorder="1" applyAlignment="1" applyProtection="1"/>
    <xf numFmtId="44" fontId="2" fillId="10" borderId="71" xfId="1" applyFont="1" applyFill="1" applyBorder="1" applyAlignment="1" applyProtection="1"/>
    <xf numFmtId="44" fontId="2" fillId="10" borderId="1" xfId="1" applyFont="1" applyFill="1" applyBorder="1" applyAlignment="1" applyProtection="1"/>
    <xf numFmtId="0" fontId="2" fillId="0" borderId="83" xfId="0" applyNumberFormat="1" applyFont="1" applyFill="1" applyBorder="1" applyAlignment="1" applyProtection="1"/>
    <xf numFmtId="0" fontId="2" fillId="0" borderId="73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/>
    <xf numFmtId="0" fontId="16" fillId="0" borderId="67" xfId="0" applyFont="1" applyFill="1" applyBorder="1" applyAlignment="1"/>
    <xf numFmtId="0" fontId="1" fillId="23" borderId="11" xfId="0" applyNumberFormat="1" applyFont="1" applyFill="1" applyBorder="1" applyAlignment="1" applyProtection="1">
      <alignment horizontal="center" vertical="center"/>
    </xf>
    <xf numFmtId="0" fontId="1" fillId="24" borderId="11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/>
    </xf>
    <xf numFmtId="44" fontId="0" fillId="3" borderId="78" xfId="1" applyFont="1" applyFill="1" applyBorder="1"/>
    <xf numFmtId="0" fontId="0" fillId="3" borderId="71" xfId="0" applyFill="1" applyBorder="1" applyAlignment="1">
      <alignment horizontal="center"/>
    </xf>
    <xf numFmtId="167" fontId="0" fillId="3" borderId="71" xfId="3" applyNumberFormat="1" applyFont="1" applyFill="1" applyBorder="1"/>
    <xf numFmtId="0" fontId="0" fillId="3" borderId="69" xfId="0" applyFill="1" applyBorder="1" applyAlignment="1">
      <alignment horizontal="center"/>
    </xf>
    <xf numFmtId="167" fontId="0" fillId="3" borderId="69" xfId="3" applyNumberFormat="1" applyFont="1" applyFill="1" applyBorder="1"/>
    <xf numFmtId="0" fontId="0" fillId="3" borderId="78" xfId="0" applyFill="1" applyBorder="1" applyAlignment="1">
      <alignment horizontal="center"/>
    </xf>
    <xf numFmtId="167" fontId="0" fillId="3" borderId="78" xfId="3" applyNumberFormat="1" applyFont="1" applyFill="1" applyBorder="1"/>
    <xf numFmtId="0" fontId="0" fillId="3" borderId="71" xfId="0" applyFont="1" applyFill="1" applyBorder="1" applyAlignment="1">
      <alignment horizontal="center" vertical="center"/>
    </xf>
    <xf numFmtId="167" fontId="0" fillId="3" borderId="28" xfId="3" applyNumberFormat="1" applyFont="1" applyFill="1" applyBorder="1"/>
    <xf numFmtId="44" fontId="1" fillId="0" borderId="89" xfId="1" applyFont="1" applyFill="1" applyBorder="1" applyAlignment="1" applyProtection="1">
      <alignment horizontal="left" vertical="center"/>
    </xf>
    <xf numFmtId="0" fontId="0" fillId="17" borderId="1" xfId="0" applyFill="1" applyBorder="1" applyAlignment="1">
      <alignment horizontal="center"/>
    </xf>
    <xf numFmtId="0" fontId="0" fillId="17" borderId="53" xfId="0" applyFont="1" applyFill="1" applyBorder="1" applyAlignment="1">
      <alignment horizontal="left" vertical="center"/>
    </xf>
    <xf numFmtId="0" fontId="40" fillId="10" borderId="43" xfId="0" applyNumberFormat="1" applyFont="1" applyFill="1" applyBorder="1" applyAlignment="1" applyProtection="1">
      <alignment horizontal="center" wrapText="1"/>
    </xf>
    <xf numFmtId="0" fontId="40" fillId="10" borderId="44" xfId="0" applyNumberFormat="1" applyFont="1" applyFill="1" applyBorder="1" applyAlignment="1" applyProtection="1">
      <alignment horizontal="center" wrapText="1"/>
    </xf>
    <xf numFmtId="0" fontId="19" fillId="0" borderId="0" xfId="0" applyFont="1"/>
    <xf numFmtId="44" fontId="24" fillId="0" borderId="33" xfId="1" applyFont="1" applyBorder="1" applyAlignment="1"/>
    <xf numFmtId="0" fontId="50" fillId="0" borderId="4" xfId="0" applyFont="1" applyBorder="1" applyAlignment="1">
      <alignment vertical="center"/>
    </xf>
    <xf numFmtId="0" fontId="0" fillId="25" borderId="94" xfId="0" applyFont="1" applyFill="1" applyBorder="1" applyAlignment="1">
      <alignment horizontal="center" vertical="center"/>
    </xf>
    <xf numFmtId="0" fontId="3" fillId="0" borderId="96" xfId="0" applyNumberFormat="1" applyFont="1" applyFill="1" applyBorder="1" applyAlignment="1" applyProtection="1">
      <alignment wrapText="1"/>
    </xf>
    <xf numFmtId="0" fontId="3" fillId="0" borderId="96" xfId="0" applyNumberFormat="1" applyFont="1" applyFill="1" applyBorder="1" applyAlignment="1" applyProtection="1"/>
    <xf numFmtId="44" fontId="2" fillId="10" borderId="9" xfId="1" applyFont="1" applyFill="1" applyBorder="1" applyAlignment="1" applyProtection="1"/>
    <xf numFmtId="0" fontId="2" fillId="0" borderId="59" xfId="0" applyNumberFormat="1" applyFont="1" applyFill="1" applyBorder="1" applyAlignment="1" applyProtection="1"/>
    <xf numFmtId="0" fontId="2" fillId="0" borderId="60" xfId="0" applyNumberFormat="1" applyFont="1" applyFill="1" applyBorder="1" applyAlignment="1" applyProtection="1"/>
    <xf numFmtId="0" fontId="2" fillId="0" borderId="65" xfId="0" applyNumberFormat="1" applyFont="1" applyFill="1" applyBorder="1" applyAlignment="1" applyProtection="1"/>
    <xf numFmtId="44" fontId="1" fillId="0" borderId="89" xfId="1" applyFont="1" applyFill="1" applyBorder="1" applyAlignment="1" applyProtection="1"/>
    <xf numFmtId="2" fontId="2" fillId="0" borderId="69" xfId="0" applyNumberFormat="1" applyFont="1" applyFill="1" applyBorder="1" applyAlignment="1" applyProtection="1">
      <alignment horizontal="center"/>
    </xf>
    <xf numFmtId="44" fontId="1" fillId="0" borderId="69" xfId="1" applyFont="1" applyFill="1" applyBorder="1" applyAlignment="1" applyProtection="1"/>
    <xf numFmtId="44" fontId="1" fillId="0" borderId="90" xfId="1" applyFont="1" applyFill="1" applyBorder="1" applyAlignment="1" applyProtection="1"/>
    <xf numFmtId="0" fontId="41" fillId="27" borderId="11" xfId="0" applyFont="1" applyFill="1" applyBorder="1" applyAlignment="1">
      <alignment vertical="top" wrapText="1"/>
    </xf>
    <xf numFmtId="0" fontId="41" fillId="27" borderId="11" xfId="0" applyFont="1" applyFill="1" applyBorder="1" applyAlignment="1">
      <alignment horizontal="center" vertical="top" wrapText="1"/>
    </xf>
    <xf numFmtId="0" fontId="3" fillId="0" borderId="60" xfId="0" applyNumberFormat="1" applyFont="1" applyFill="1" applyBorder="1" applyAlignment="1" applyProtection="1">
      <alignment wrapText="1"/>
    </xf>
    <xf numFmtId="0" fontId="10" fillId="0" borderId="25" xfId="0" applyFont="1" applyBorder="1" applyAlignment="1">
      <alignment horizontal="center" vertical="center"/>
    </xf>
    <xf numFmtId="165" fontId="10" fillId="0" borderId="25" xfId="1" applyNumberFormat="1" applyFont="1" applyBorder="1" applyAlignment="1">
      <alignment horizontal="center" vertical="center"/>
    </xf>
    <xf numFmtId="165" fontId="10" fillId="0" borderId="25" xfId="1" applyNumberFormat="1" applyFont="1" applyBorder="1" applyAlignment="1">
      <alignment horizontal="center" vertical="center" wrapText="1"/>
    </xf>
    <xf numFmtId="44" fontId="10" fillId="0" borderId="25" xfId="0" applyNumberFormat="1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44" fontId="1" fillId="10" borderId="1" xfId="1" applyFont="1" applyFill="1" applyBorder="1" applyAlignment="1" applyProtection="1"/>
    <xf numFmtId="0" fontId="1" fillId="0" borderId="65" xfId="0" applyNumberFormat="1" applyFont="1" applyFill="1" applyBorder="1" applyAlignment="1" applyProtection="1"/>
    <xf numFmtId="0" fontId="1" fillId="0" borderId="60" xfId="0" applyNumberFormat="1" applyFont="1" applyFill="1" applyBorder="1" applyAlignment="1" applyProtection="1"/>
    <xf numFmtId="0" fontId="1" fillId="0" borderId="89" xfId="0" applyNumberFormat="1" applyFont="1" applyFill="1" applyBorder="1" applyAlignment="1" applyProtection="1">
      <alignment horizontal="center"/>
    </xf>
    <xf numFmtId="0" fontId="1" fillId="0" borderId="69" xfId="0" applyNumberFormat="1" applyFont="1" applyFill="1" applyBorder="1" applyAlignment="1" applyProtection="1">
      <alignment horizontal="center"/>
    </xf>
    <xf numFmtId="0" fontId="1" fillId="0" borderId="90" xfId="0" applyNumberFormat="1" applyFont="1" applyFill="1" applyBorder="1" applyAlignment="1" applyProtection="1">
      <alignment horizontal="center"/>
    </xf>
    <xf numFmtId="0" fontId="1" fillId="10" borderId="6" xfId="0" applyNumberFormat="1" applyFont="1" applyFill="1" applyBorder="1" applyAlignment="1" applyProtection="1"/>
    <xf numFmtId="165" fontId="1" fillId="10" borderId="6" xfId="0" applyNumberFormat="1" applyFont="1" applyFill="1" applyBorder="1" applyAlignment="1" applyProtection="1"/>
    <xf numFmtId="6" fontId="1" fillId="10" borderId="6" xfId="0" applyNumberFormat="1" applyFont="1" applyFill="1" applyBorder="1" applyAlignment="1" applyProtection="1"/>
    <xf numFmtId="0" fontId="1" fillId="0" borderId="59" xfId="0" applyNumberFormat="1" applyFont="1" applyFill="1" applyBorder="1" applyAlignment="1" applyProtection="1"/>
    <xf numFmtId="164" fontId="1" fillId="0" borderId="69" xfId="0" applyNumberFormat="1" applyFont="1" applyFill="1" applyBorder="1" applyAlignment="1" applyProtection="1">
      <alignment horizontal="center"/>
    </xf>
    <xf numFmtId="0" fontId="1" fillId="24" borderId="1" xfId="0" applyNumberFormat="1" applyFont="1" applyFill="1" applyBorder="1" applyAlignment="1" applyProtection="1">
      <alignment horizontal="center" vertical="center"/>
    </xf>
    <xf numFmtId="167" fontId="1" fillId="0" borderId="89" xfId="3" applyNumberFormat="1" applyFont="1" applyFill="1" applyBorder="1" applyAlignment="1" applyProtection="1"/>
    <xf numFmtId="167" fontId="1" fillId="0" borderId="69" xfId="3" applyNumberFormat="1" applyFont="1" applyFill="1" applyBorder="1" applyAlignment="1" applyProtection="1"/>
    <xf numFmtId="167" fontId="1" fillId="0" borderId="90" xfId="3" applyNumberFormat="1" applyFont="1" applyFill="1" applyBorder="1" applyAlignment="1" applyProtection="1"/>
    <xf numFmtId="167" fontId="2" fillId="10" borderId="36" xfId="3" applyNumberFormat="1" applyFont="1" applyFill="1" applyBorder="1" applyAlignment="1" applyProtection="1"/>
    <xf numFmtId="167" fontId="41" fillId="27" borderId="34" xfId="3" applyNumberFormat="1" applyFont="1" applyFill="1" applyBorder="1" applyAlignment="1">
      <alignment vertical="top" wrapText="1"/>
    </xf>
    <xf numFmtId="167" fontId="2" fillId="0" borderId="89" xfId="3" applyNumberFormat="1" applyFont="1" applyFill="1" applyBorder="1" applyAlignment="1" applyProtection="1"/>
    <xf numFmtId="167" fontId="2" fillId="2" borderId="69" xfId="3" applyNumberFormat="1" applyFont="1" applyFill="1" applyBorder="1" applyAlignment="1" applyProtection="1">
      <alignment vertical="center"/>
    </xf>
    <xf numFmtId="167" fontId="2" fillId="2" borderId="69" xfId="3" applyNumberFormat="1" applyFont="1" applyFill="1" applyBorder="1" applyAlignment="1" applyProtection="1"/>
    <xf numFmtId="167" fontId="2" fillId="0" borderId="69" xfId="3" applyNumberFormat="1" applyFont="1" applyFill="1" applyBorder="1" applyAlignment="1" applyProtection="1"/>
    <xf numFmtId="167" fontId="2" fillId="0" borderId="90" xfId="3" applyNumberFormat="1" applyFont="1" applyFill="1" applyBorder="1" applyAlignment="1" applyProtection="1"/>
    <xf numFmtId="167" fontId="2" fillId="3" borderId="89" xfId="3" applyNumberFormat="1" applyFont="1" applyFill="1" applyBorder="1" applyAlignment="1" applyProtection="1"/>
    <xf numFmtId="167" fontId="1" fillId="0" borderId="89" xfId="3" applyNumberFormat="1" applyFont="1" applyFill="1" applyBorder="1" applyAlignment="1" applyProtection="1">
      <alignment horizontal="right"/>
    </xf>
    <xf numFmtId="167" fontId="1" fillId="0" borderId="69" xfId="3" applyNumberFormat="1" applyFont="1" applyFill="1" applyBorder="1" applyAlignment="1" applyProtection="1">
      <alignment horizontal="right"/>
    </xf>
    <xf numFmtId="167" fontId="1" fillId="0" borderId="78" xfId="3" applyNumberFormat="1" applyFont="1" applyFill="1" applyBorder="1" applyAlignment="1" applyProtection="1">
      <alignment horizontal="right"/>
    </xf>
    <xf numFmtId="167" fontId="12" fillId="10" borderId="1" xfId="3" applyNumberFormat="1" applyFont="1" applyFill="1" applyBorder="1" applyAlignment="1">
      <alignment horizontal="right"/>
    </xf>
    <xf numFmtId="167" fontId="7" fillId="10" borderId="1" xfId="3" applyNumberFormat="1" applyFont="1" applyFill="1" applyBorder="1" applyAlignment="1">
      <alignment horizontal="right"/>
    </xf>
    <xf numFmtId="167" fontId="41" fillId="27" borderId="34" xfId="3" applyNumberFormat="1" applyFont="1" applyFill="1" applyBorder="1" applyAlignment="1">
      <alignment horizontal="right" vertical="top" wrapText="1"/>
    </xf>
    <xf numFmtId="167" fontId="2" fillId="0" borderId="89" xfId="3" applyNumberFormat="1" applyFont="1" applyFill="1" applyBorder="1" applyAlignment="1" applyProtection="1">
      <alignment horizontal="right"/>
    </xf>
    <xf numFmtId="167" fontId="2" fillId="2" borderId="69" xfId="3" applyNumberFormat="1" applyFont="1" applyFill="1" applyBorder="1" applyAlignment="1" applyProtection="1">
      <alignment horizontal="right" vertical="center"/>
    </xf>
    <xf numFmtId="167" fontId="2" fillId="2" borderId="90" xfId="3" applyNumberFormat="1" applyFont="1" applyFill="1" applyBorder="1" applyAlignment="1" applyProtection="1">
      <alignment horizontal="right"/>
    </xf>
    <xf numFmtId="167" fontId="1" fillId="0" borderId="71" xfId="3" applyNumberFormat="1" applyFont="1" applyBorder="1" applyAlignment="1">
      <alignment horizontal="right" vertical="center" wrapText="1"/>
    </xf>
    <xf numFmtId="167" fontId="1" fillId="0" borderId="69" xfId="3" applyNumberFormat="1" applyFont="1" applyBorder="1" applyAlignment="1">
      <alignment horizontal="right" vertical="center" wrapText="1"/>
    </xf>
    <xf numFmtId="167" fontId="1" fillId="0" borderId="78" xfId="3" applyNumberFormat="1" applyFont="1" applyBorder="1" applyAlignment="1">
      <alignment horizontal="right" vertical="center" wrapText="1"/>
    </xf>
    <xf numFmtId="167" fontId="2" fillId="0" borderId="69" xfId="3" applyNumberFormat="1" applyFont="1" applyFill="1" applyBorder="1" applyAlignment="1" applyProtection="1">
      <alignment horizontal="right"/>
    </xf>
    <xf numFmtId="167" fontId="1" fillId="0" borderId="89" xfId="0" applyNumberFormat="1" applyFont="1" applyFill="1" applyBorder="1" applyAlignment="1" applyProtection="1">
      <alignment horizontal="right" vertical="center"/>
    </xf>
    <xf numFmtId="44" fontId="10" fillId="0" borderId="25" xfId="1" applyFont="1" applyBorder="1" applyAlignment="1">
      <alignment horizontal="center" vertical="center"/>
    </xf>
    <xf numFmtId="44" fontId="41" fillId="27" borderId="11" xfId="1" applyFont="1" applyFill="1" applyBorder="1" applyAlignment="1">
      <alignment vertical="top" wrapText="1"/>
    </xf>
    <xf numFmtId="44" fontId="1" fillId="0" borderId="6" xfId="1" applyFont="1" applyFill="1" applyBorder="1" applyAlignment="1" applyProtection="1"/>
    <xf numFmtId="44" fontId="5" fillId="0" borderId="11" xfId="1" applyFont="1" applyFill="1" applyBorder="1" applyAlignment="1" applyProtection="1"/>
    <xf numFmtId="44" fontId="1" fillId="0" borderId="11" xfId="1" applyFont="1" applyFill="1" applyBorder="1" applyAlignment="1" applyProtection="1"/>
    <xf numFmtId="44" fontId="1" fillId="2" borderId="15" xfId="1" applyFont="1" applyFill="1" applyBorder="1" applyAlignment="1" applyProtection="1"/>
    <xf numFmtId="44" fontId="0" fillId="0" borderId="69" xfId="1" applyFont="1" applyFill="1" applyBorder="1"/>
    <xf numFmtId="44" fontId="0" fillId="0" borderId="78" xfId="1" applyFont="1" applyFill="1" applyBorder="1"/>
    <xf numFmtId="44" fontId="1" fillId="10" borderId="9" xfId="1" applyFont="1" applyFill="1" applyBorder="1" applyAlignment="1" applyProtection="1"/>
    <xf numFmtId="44" fontId="0" fillId="10" borderId="20" xfId="1" applyFont="1" applyFill="1" applyBorder="1" applyAlignment="1">
      <alignment horizontal="center"/>
    </xf>
    <xf numFmtId="44" fontId="30" fillId="10" borderId="11" xfId="1" applyFont="1" applyFill="1" applyBorder="1" applyAlignment="1" applyProtection="1">
      <alignment wrapText="1"/>
    </xf>
    <xf numFmtId="44" fontId="30" fillId="10" borderId="9" xfId="1" applyFont="1" applyFill="1" applyBorder="1" applyAlignment="1" applyProtection="1">
      <alignment wrapText="1"/>
    </xf>
    <xf numFmtId="44" fontId="0" fillId="0" borderId="36" xfId="1" applyFont="1" applyBorder="1" applyAlignment="1">
      <alignment horizontal="center"/>
    </xf>
    <xf numFmtId="44" fontId="41" fillId="27" borderId="34" xfId="1" applyFont="1" applyFill="1" applyBorder="1" applyAlignment="1">
      <alignment vertical="top" wrapText="1"/>
    </xf>
    <xf numFmtId="44" fontId="1" fillId="10" borderId="1" xfId="1" applyFont="1" applyFill="1" applyBorder="1" applyAlignment="1">
      <alignment vertical="center" wrapText="1"/>
    </xf>
    <xf numFmtId="44" fontId="1" fillId="10" borderId="11" xfId="1" applyFont="1" applyFill="1" applyBorder="1" applyAlignment="1">
      <alignment vertical="center" wrapText="1"/>
    </xf>
    <xf numFmtId="44" fontId="0" fillId="10" borderId="1" xfId="1" applyFont="1" applyFill="1" applyBorder="1" applyAlignment="1">
      <alignment horizontal="center"/>
    </xf>
    <xf numFmtId="44" fontId="2" fillId="2" borderId="6" xfId="1" applyFont="1" applyFill="1" applyBorder="1" applyAlignment="1" applyProtection="1"/>
    <xf numFmtId="44" fontId="14" fillId="0" borderId="36" xfId="1" applyFont="1" applyBorder="1" applyAlignment="1">
      <alignment horizontal="center"/>
    </xf>
    <xf numFmtId="44" fontId="2" fillId="0" borderId="81" xfId="1" applyFont="1" applyFill="1" applyBorder="1" applyAlignment="1" applyProtection="1"/>
    <xf numFmtId="44" fontId="1" fillId="0" borderId="78" xfId="1" applyFont="1" applyFill="1" applyBorder="1" applyAlignment="1" applyProtection="1"/>
    <xf numFmtId="44" fontId="12" fillId="10" borderId="19" xfId="1" applyFont="1" applyFill="1" applyBorder="1"/>
    <xf numFmtId="44" fontId="0" fillId="10" borderId="1" xfId="1" applyFont="1" applyFill="1" applyBorder="1"/>
    <xf numFmtId="44" fontId="2" fillId="0" borderId="89" xfId="1" applyFont="1" applyFill="1" applyBorder="1" applyAlignment="1" applyProtection="1"/>
    <xf numFmtId="44" fontId="2" fillId="0" borderId="69" xfId="1" applyFont="1" applyFill="1" applyBorder="1" applyAlignment="1" applyProtection="1"/>
    <xf numFmtId="44" fontId="2" fillId="0" borderId="90" xfId="1" applyFont="1" applyFill="1" applyBorder="1" applyAlignment="1" applyProtection="1"/>
    <xf numFmtId="44" fontId="1" fillId="0" borderId="71" xfId="1" applyFont="1" applyBorder="1" applyAlignment="1">
      <alignment vertical="center" wrapText="1"/>
    </xf>
    <xf numFmtId="44" fontId="1" fillId="0" borderId="69" xfId="1" applyFont="1" applyBorder="1" applyAlignment="1">
      <alignment vertical="center" wrapText="1"/>
    </xf>
    <xf numFmtId="44" fontId="1" fillId="0" borderId="78" xfId="1" applyFont="1" applyBorder="1" applyAlignment="1">
      <alignment vertical="center" wrapText="1"/>
    </xf>
    <xf numFmtId="44" fontId="2" fillId="10" borderId="6" xfId="1" applyFont="1" applyFill="1" applyBorder="1" applyAlignment="1" applyProtection="1"/>
    <xf numFmtId="44" fontId="2" fillId="0" borderId="6" xfId="1" applyFont="1" applyFill="1" applyBorder="1" applyAlignment="1" applyProtection="1"/>
    <xf numFmtId="44" fontId="5" fillId="2" borderId="15" xfId="1" applyFont="1" applyFill="1" applyBorder="1" applyAlignment="1" applyProtection="1"/>
    <xf numFmtId="44" fontId="0" fillId="0" borderId="89" xfId="1" applyFont="1" applyBorder="1"/>
    <xf numFmtId="44" fontId="2" fillId="10" borderId="36" xfId="1" applyFont="1" applyFill="1" applyBorder="1" applyAlignment="1" applyProtection="1"/>
    <xf numFmtId="44" fontId="2" fillId="2" borderId="69" xfId="1" applyFont="1" applyFill="1" applyBorder="1" applyAlignment="1" applyProtection="1">
      <alignment vertical="center"/>
    </xf>
    <xf numFmtId="44" fontId="2" fillId="2" borderId="69" xfId="1" applyFont="1" applyFill="1" applyBorder="1" applyAlignment="1" applyProtection="1"/>
    <xf numFmtId="44" fontId="2" fillId="2" borderId="90" xfId="1" applyFont="1" applyFill="1" applyBorder="1" applyAlignment="1" applyProtection="1"/>
    <xf numFmtId="44" fontId="2" fillId="3" borderId="89" xfId="1" applyFont="1" applyFill="1" applyBorder="1" applyAlignment="1" applyProtection="1"/>
    <xf numFmtId="44" fontId="14" fillId="10" borderId="0" xfId="1" applyFont="1" applyFill="1" applyBorder="1" applyAlignment="1">
      <alignment horizontal="center" vertical="center"/>
    </xf>
    <xf numFmtId="44" fontId="0" fillId="10" borderId="0" xfId="1" applyFont="1" applyFill="1" applyBorder="1" applyAlignment="1">
      <alignment horizontal="center"/>
    </xf>
    <xf numFmtId="44" fontId="41" fillId="27" borderId="3" xfId="1" applyFont="1" applyFill="1" applyBorder="1" applyAlignment="1">
      <alignment horizontal="center" wrapText="1"/>
    </xf>
    <xf numFmtId="44" fontId="41" fillId="27" borderId="11" xfId="1" applyFont="1" applyFill="1" applyBorder="1" applyAlignment="1">
      <alignment horizontal="center" wrapText="1"/>
    </xf>
    <xf numFmtId="44" fontId="42" fillId="27" borderId="34" xfId="1" applyFont="1" applyFill="1" applyBorder="1" applyAlignment="1" applyProtection="1">
      <alignment horizontal="center" wrapText="1"/>
      <protection locked="0"/>
    </xf>
    <xf numFmtId="44" fontId="0" fillId="10" borderId="0" xfId="1" applyFont="1" applyFill="1" applyBorder="1" applyAlignment="1" applyProtection="1">
      <alignment horizontal="center"/>
      <protection locked="0"/>
    </xf>
    <xf numFmtId="44" fontId="0" fillId="0" borderId="36" xfId="1" applyFont="1" applyBorder="1" applyAlignment="1" applyProtection="1">
      <alignment horizontal="center"/>
    </xf>
    <xf numFmtId="44" fontId="7" fillId="0" borderId="36" xfId="1" applyFont="1" applyBorder="1"/>
    <xf numFmtId="44" fontId="41" fillId="27" borderId="28" xfId="1" applyFont="1" applyFill="1" applyBorder="1" applyAlignment="1"/>
    <xf numFmtId="44" fontId="0" fillId="0" borderId="36" xfId="1" applyFont="1" applyFill="1" applyBorder="1"/>
    <xf numFmtId="44" fontId="14" fillId="0" borderId="81" xfId="1" applyFont="1" applyBorder="1"/>
    <xf numFmtId="44" fontId="0" fillId="0" borderId="74" xfId="1" applyFont="1" applyBorder="1" applyAlignment="1">
      <alignment vertical="center"/>
    </xf>
    <xf numFmtId="44" fontId="0" fillId="0" borderId="79" xfId="1" applyFont="1" applyBorder="1"/>
    <xf numFmtId="44" fontId="34" fillId="10" borderId="19" xfId="1" applyFont="1" applyFill="1" applyBorder="1"/>
    <xf numFmtId="44" fontId="0" fillId="0" borderId="74" xfId="1" applyFont="1" applyBorder="1"/>
    <xf numFmtId="44" fontId="0" fillId="0" borderId="75" xfId="1" applyFont="1" applyBorder="1"/>
    <xf numFmtId="44" fontId="41" fillId="27" borderId="22" xfId="1" applyFont="1" applyFill="1" applyBorder="1" applyAlignment="1">
      <alignment wrapText="1"/>
    </xf>
    <xf numFmtId="44" fontId="0" fillId="0" borderId="75" xfId="1" applyFont="1" applyFill="1" applyBorder="1"/>
    <xf numFmtId="44" fontId="41" fillId="27" borderId="11" xfId="1" applyFont="1" applyFill="1" applyBorder="1" applyAlignment="1">
      <alignment wrapText="1"/>
    </xf>
    <xf numFmtId="44" fontId="0" fillId="3" borderId="74" xfId="1" applyFont="1" applyFill="1" applyBorder="1"/>
    <xf numFmtId="44" fontId="0" fillId="3" borderId="75" xfId="1" applyFont="1" applyFill="1" applyBorder="1"/>
    <xf numFmtId="44" fontId="0" fillId="3" borderId="79" xfId="1" applyFont="1" applyFill="1" applyBorder="1"/>
    <xf numFmtId="44" fontId="0" fillId="10" borderId="6" xfId="1" applyFont="1" applyFill="1" applyBorder="1"/>
    <xf numFmtId="44" fontId="42" fillId="27" borderId="34" xfId="1" applyFont="1" applyFill="1" applyBorder="1" applyAlignment="1" applyProtection="1">
      <alignment wrapText="1"/>
      <protection locked="0"/>
    </xf>
    <xf numFmtId="44" fontId="0" fillId="10" borderId="19" xfId="1" applyFont="1" applyFill="1" applyBorder="1" applyProtection="1">
      <protection locked="0"/>
    </xf>
    <xf numFmtId="44" fontId="0" fillId="0" borderId="80" xfId="1" applyFont="1" applyBorder="1" applyProtection="1">
      <protection locked="0"/>
    </xf>
    <xf numFmtId="44" fontId="0" fillId="0" borderId="74" xfId="1" applyFont="1" applyBorder="1" applyProtection="1">
      <protection locked="0"/>
    </xf>
    <xf numFmtId="44" fontId="0" fillId="10" borderId="6" xfId="1" applyFont="1" applyFill="1" applyBorder="1" applyProtection="1">
      <protection locked="0"/>
    </xf>
    <xf numFmtId="44" fontId="7" fillId="0" borderId="71" xfId="1" applyFont="1" applyBorder="1" applyAlignment="1">
      <alignment horizontal="right"/>
    </xf>
    <xf numFmtId="44" fontId="41" fillId="27" borderId="71" xfId="1" applyFont="1" applyFill="1" applyBorder="1" applyAlignment="1"/>
    <xf numFmtId="2" fontId="0" fillId="3" borderId="71" xfId="0" applyNumberFormat="1" applyFont="1" applyFill="1" applyBorder="1" applyAlignment="1">
      <alignment horizontal="center" vertical="center"/>
    </xf>
    <xf numFmtId="2" fontId="0" fillId="3" borderId="78" xfId="0" applyNumberFormat="1" applyFill="1" applyBorder="1" applyAlignment="1">
      <alignment horizontal="center"/>
    </xf>
    <xf numFmtId="2" fontId="34" fillId="10" borderId="1" xfId="4" applyNumberFormat="1" applyFont="1" applyFill="1" applyBorder="1" applyAlignment="1">
      <alignment horizontal="center"/>
    </xf>
    <xf numFmtId="2" fontId="0" fillId="3" borderId="71" xfId="5" applyNumberFormat="1" applyFont="1" applyFill="1" applyBorder="1" applyAlignment="1">
      <alignment horizontal="center"/>
    </xf>
    <xf numFmtId="2" fontId="0" fillId="3" borderId="78" xfId="5" applyNumberFormat="1" applyFont="1" applyFill="1" applyBorder="1" applyAlignment="1">
      <alignment horizontal="center"/>
    </xf>
    <xf numFmtId="2" fontId="12" fillId="10" borderId="1" xfId="4" applyNumberFormat="1" applyFill="1" applyBorder="1" applyAlignment="1">
      <alignment horizontal="center"/>
    </xf>
    <xf numFmtId="2" fontId="0" fillId="3" borderId="69" xfId="5" applyNumberFormat="1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2" fontId="41" fillId="27" borderId="11" xfId="0" applyNumberFormat="1" applyFont="1" applyFill="1" applyBorder="1" applyAlignment="1">
      <alignment horizontal="center" wrapText="1"/>
    </xf>
    <xf numFmtId="2" fontId="0" fillId="10" borderId="6" xfId="0" applyNumberFormat="1" applyFill="1" applyBorder="1" applyAlignment="1">
      <alignment horizontal="center"/>
    </xf>
    <xf numFmtId="2" fontId="42" fillId="27" borderId="34" xfId="0" applyNumberFormat="1" applyFont="1" applyFill="1" applyBorder="1" applyAlignment="1" applyProtection="1">
      <alignment horizontal="center" wrapText="1"/>
      <protection locked="0"/>
    </xf>
    <xf numFmtId="2" fontId="0" fillId="10" borderId="1" xfId="0" applyNumberFormat="1" applyFill="1" applyBorder="1" applyAlignment="1" applyProtection="1">
      <alignment horizontal="center"/>
      <protection locked="0"/>
    </xf>
    <xf numFmtId="2" fontId="0" fillId="0" borderId="28" xfId="0" applyNumberFormat="1" applyBorder="1" applyAlignment="1" applyProtection="1">
      <alignment horizontal="center"/>
      <protection locked="0"/>
    </xf>
    <xf numFmtId="2" fontId="0" fillId="0" borderId="71" xfId="0" applyNumberFormat="1" applyBorder="1" applyAlignment="1">
      <alignment horizontal="center"/>
    </xf>
    <xf numFmtId="2" fontId="1" fillId="0" borderId="89" xfId="0" applyNumberFormat="1" applyFont="1" applyFill="1" applyBorder="1" applyAlignment="1" applyProtection="1">
      <alignment horizontal="center"/>
    </xf>
    <xf numFmtId="2" fontId="1" fillId="0" borderId="69" xfId="0" applyNumberFormat="1" applyFont="1" applyFill="1" applyBorder="1" applyAlignment="1" applyProtection="1">
      <alignment horizontal="center"/>
    </xf>
    <xf numFmtId="2" fontId="1" fillId="0" borderId="78" xfId="0" applyNumberFormat="1" applyFont="1" applyFill="1" applyBorder="1" applyAlignment="1" applyProtection="1">
      <alignment horizontal="center"/>
    </xf>
    <xf numFmtId="2" fontId="20" fillId="3" borderId="89" xfId="0" applyNumberFormat="1" applyFont="1" applyFill="1" applyBorder="1" applyAlignment="1" applyProtection="1">
      <alignment horizontal="center"/>
    </xf>
    <xf numFmtId="2" fontId="2" fillId="2" borderId="69" xfId="0" applyNumberFormat="1" applyFont="1" applyFill="1" applyBorder="1" applyAlignment="1" applyProtection="1">
      <alignment horizontal="center" vertical="center"/>
    </xf>
    <xf numFmtId="2" fontId="2" fillId="2" borderId="90" xfId="0" applyNumberFormat="1" applyFont="1" applyFill="1" applyBorder="1" applyAlignment="1" applyProtection="1">
      <alignment horizontal="center"/>
    </xf>
    <xf numFmtId="2" fontId="2" fillId="0" borderId="89" xfId="0" applyNumberFormat="1" applyFont="1" applyFill="1" applyBorder="1" applyAlignment="1" applyProtection="1">
      <alignment horizontal="center"/>
    </xf>
    <xf numFmtId="2" fontId="2" fillId="0" borderId="90" xfId="0" applyNumberFormat="1" applyFont="1" applyFill="1" applyBorder="1" applyAlignment="1" applyProtection="1">
      <alignment horizontal="center"/>
    </xf>
    <xf numFmtId="2" fontId="45" fillId="27" borderId="34" xfId="0" applyNumberFormat="1" applyFont="1" applyFill="1" applyBorder="1" applyAlignment="1">
      <alignment horizontal="center"/>
    </xf>
    <xf numFmtId="2" fontId="1" fillId="0" borderId="89" xfId="0" applyNumberFormat="1" applyFont="1" applyFill="1" applyBorder="1" applyAlignment="1" applyProtection="1">
      <alignment horizontal="center" vertical="center"/>
    </xf>
    <xf numFmtId="2" fontId="41" fillId="27" borderId="34" xfId="0" applyNumberFormat="1" applyFont="1" applyFill="1" applyBorder="1" applyAlignment="1">
      <alignment horizontal="center" vertical="top" wrapText="1"/>
    </xf>
    <xf numFmtId="2" fontId="1" fillId="0" borderId="71" xfId="2" applyNumberFormat="1" applyFont="1" applyBorder="1" applyAlignment="1">
      <alignment horizontal="center" vertical="center" wrapText="1"/>
    </xf>
    <xf numFmtId="2" fontId="1" fillId="0" borderId="69" xfId="2" applyNumberFormat="1" applyFont="1" applyBorder="1" applyAlignment="1">
      <alignment horizontal="center" vertical="center" wrapText="1"/>
    </xf>
    <xf numFmtId="2" fontId="1" fillId="0" borderId="78" xfId="2" applyNumberFormat="1" applyFont="1" applyBorder="1" applyAlignment="1">
      <alignment horizontal="center" vertical="center" wrapText="1"/>
    </xf>
    <xf numFmtId="0" fontId="47" fillId="0" borderId="89" xfId="0" applyNumberFormat="1" applyFont="1" applyFill="1" applyBorder="1" applyAlignment="1" applyProtection="1">
      <alignment horizontal="center"/>
    </xf>
    <xf numFmtId="0" fontId="1" fillId="0" borderId="78" xfId="0" applyNumberFormat="1" applyFont="1" applyFill="1" applyBorder="1" applyAlignment="1" applyProtection="1">
      <alignment horizontal="center"/>
    </xf>
    <xf numFmtId="0" fontId="1" fillId="2" borderId="69" xfId="0" applyNumberFormat="1" applyFont="1" applyFill="1" applyBorder="1" applyAlignment="1" applyProtection="1">
      <alignment horizontal="center" vertical="center"/>
    </xf>
    <xf numFmtId="0" fontId="1" fillId="2" borderId="90" xfId="0" applyNumberFormat="1" applyFont="1" applyFill="1" applyBorder="1" applyAlignment="1" applyProtection="1">
      <alignment horizontal="center"/>
    </xf>
    <xf numFmtId="9" fontId="1" fillId="0" borderId="78" xfId="2" applyFont="1" applyBorder="1" applyAlignment="1">
      <alignment horizontal="center" vertical="center" wrapText="1"/>
    </xf>
    <xf numFmtId="9" fontId="1" fillId="0" borderId="71" xfId="2" applyFont="1" applyBorder="1" applyAlignment="1">
      <alignment horizontal="center" vertical="center" wrapText="1"/>
    </xf>
    <xf numFmtId="9" fontId="1" fillId="0" borderId="69" xfId="2" applyFont="1" applyBorder="1" applyAlignment="1">
      <alignment horizontal="center" vertical="center" wrapText="1"/>
    </xf>
    <xf numFmtId="0" fontId="2" fillId="10" borderId="6" xfId="0" applyNumberFormat="1" applyFont="1" applyFill="1" applyBorder="1" applyAlignment="1" applyProtection="1">
      <alignment horizontal="center"/>
    </xf>
    <xf numFmtId="0" fontId="1" fillId="0" borderId="89" xfId="0" applyNumberFormat="1" applyFont="1" applyFill="1" applyBorder="1" applyAlignment="1" applyProtection="1">
      <alignment horizontal="center" vertical="center"/>
    </xf>
    <xf numFmtId="2" fontId="1" fillId="2" borderId="69" xfId="0" applyNumberFormat="1" applyFont="1" applyFill="1" applyBorder="1" applyAlignment="1" applyProtection="1">
      <alignment horizontal="center"/>
    </xf>
    <xf numFmtId="2" fontId="2" fillId="10" borderId="36" xfId="0" applyNumberFormat="1" applyFont="1" applyFill="1" applyBorder="1" applyAlignment="1" applyProtection="1">
      <alignment horizontal="center"/>
    </xf>
    <xf numFmtId="2" fontId="2" fillId="10" borderId="6" xfId="0" applyNumberFormat="1" applyFont="1" applyFill="1" applyBorder="1" applyAlignment="1" applyProtection="1">
      <alignment horizontal="center"/>
    </xf>
    <xf numFmtId="0" fontId="2" fillId="10" borderId="36" xfId="0" applyNumberFormat="1" applyFont="1" applyFill="1" applyBorder="1" applyAlignment="1" applyProtection="1">
      <alignment horizontal="center"/>
    </xf>
    <xf numFmtId="0" fontId="1" fillId="3" borderId="89" xfId="0" applyNumberFormat="1" applyFont="1" applyFill="1" applyBorder="1" applyAlignment="1" applyProtection="1">
      <alignment horizontal="center"/>
    </xf>
    <xf numFmtId="2" fontId="0" fillId="0" borderId="69" xfId="5" applyNumberFormat="1" applyFont="1" applyFill="1" applyBorder="1" applyAlignment="1">
      <alignment horizontal="center"/>
    </xf>
    <xf numFmtId="2" fontId="0" fillId="0" borderId="78" xfId="5" applyNumberFormat="1" applyFont="1" applyFill="1" applyBorder="1" applyAlignment="1">
      <alignment horizontal="center"/>
    </xf>
    <xf numFmtId="0" fontId="0" fillId="18" borderId="54" xfId="0" applyFont="1" applyFill="1" applyBorder="1" applyAlignment="1">
      <alignment horizontal="left" indent="3"/>
    </xf>
    <xf numFmtId="0" fontId="32" fillId="26" borderId="54" xfId="0" applyFont="1" applyFill="1" applyBorder="1" applyAlignment="1">
      <alignment horizontal="left"/>
    </xf>
    <xf numFmtId="0" fontId="1" fillId="26" borderId="54" xfId="0" applyNumberFormat="1" applyFont="1" applyFill="1" applyBorder="1" applyAlignment="1" applyProtection="1">
      <alignment horizontal="left" vertical="top" wrapText="1"/>
    </xf>
    <xf numFmtId="0" fontId="2" fillId="26" borderId="11" xfId="0" applyNumberFormat="1" applyFont="1" applyFill="1" applyBorder="1" applyAlignment="1" applyProtection="1">
      <alignment horizontal="center" vertical="center"/>
    </xf>
    <xf numFmtId="0" fontId="1" fillId="26" borderId="52" xfId="0" applyNumberFormat="1" applyFont="1" applyFill="1" applyBorder="1" applyAlignment="1" applyProtection="1">
      <alignment horizontal="left" vertical="top" wrapText="1"/>
    </xf>
    <xf numFmtId="0" fontId="2" fillId="26" borderId="1" xfId="0" applyNumberFormat="1" applyFont="1" applyFill="1" applyBorder="1" applyAlignment="1" applyProtection="1">
      <alignment horizontal="center" vertical="center"/>
    </xf>
    <xf numFmtId="0" fontId="1" fillId="26" borderId="1" xfId="0" applyNumberFormat="1" applyFont="1" applyFill="1" applyBorder="1" applyAlignment="1" applyProtection="1">
      <alignment horizontal="center" vertical="center"/>
    </xf>
    <xf numFmtId="0" fontId="1" fillId="18" borderId="54" xfId="0" applyNumberFormat="1" applyFont="1" applyFill="1" applyBorder="1" applyAlignment="1" applyProtection="1">
      <alignment horizontal="left" vertical="top" wrapText="1"/>
    </xf>
    <xf numFmtId="0" fontId="2" fillId="18" borderId="11" xfId="0" applyNumberFormat="1" applyFont="1" applyFill="1" applyBorder="1" applyAlignment="1" applyProtection="1">
      <alignment horizontal="center" vertical="center"/>
    </xf>
    <xf numFmtId="0" fontId="1" fillId="18" borderId="1" xfId="0" applyNumberFormat="1" applyFont="1" applyFill="1" applyBorder="1" applyAlignment="1" applyProtection="1">
      <alignment horizontal="center" vertical="center"/>
    </xf>
    <xf numFmtId="0" fontId="1" fillId="18" borderId="52" xfId="0" applyNumberFormat="1" applyFont="1" applyFill="1" applyBorder="1" applyAlignment="1" applyProtection="1">
      <alignment horizontal="left" vertical="top" wrapText="1"/>
    </xf>
    <xf numFmtId="0" fontId="1" fillId="18" borderId="1" xfId="0" applyNumberFormat="1" applyFont="1" applyFill="1" applyBorder="1" applyAlignment="1" applyProtection="1">
      <alignment horizontal="center" vertical="center" wrapText="1"/>
    </xf>
    <xf numFmtId="0" fontId="1" fillId="18" borderId="11" xfId="0" applyNumberFormat="1" applyFont="1" applyFill="1" applyBorder="1" applyAlignment="1" applyProtection="1">
      <alignment horizontal="center" vertical="center"/>
    </xf>
    <xf numFmtId="0" fontId="1" fillId="26" borderId="11" xfId="0" applyNumberFormat="1" applyFont="1" applyFill="1" applyBorder="1" applyAlignment="1" applyProtection="1">
      <alignment horizontal="center" vertical="center"/>
    </xf>
    <xf numFmtId="0" fontId="32" fillId="3" borderId="0" xfId="0" applyFont="1" applyFill="1"/>
    <xf numFmtId="0" fontId="51" fillId="17" borderId="1" xfId="0" applyFont="1" applyFill="1" applyBorder="1"/>
    <xf numFmtId="0" fontId="1" fillId="24" borderId="11" xfId="0" applyNumberFormat="1" applyFont="1" applyFill="1" applyBorder="1" applyAlignment="1" applyProtection="1">
      <alignment horizontal="center"/>
    </xf>
    <xf numFmtId="0" fontId="0" fillId="25" borderId="53" xfId="0" applyFont="1" applyFill="1" applyBorder="1" applyAlignment="1">
      <alignment horizontal="left" vertical="center"/>
    </xf>
    <xf numFmtId="0" fontId="1" fillId="24" borderId="52" xfId="0" applyNumberFormat="1" applyFont="1" applyFill="1" applyBorder="1" applyAlignment="1" applyProtection="1">
      <alignment horizontal="left" vertical="top" wrapText="1" indent="3"/>
    </xf>
    <xf numFmtId="0" fontId="32" fillId="20" borderId="54" xfId="0" applyFont="1" applyFill="1" applyBorder="1" applyAlignment="1">
      <alignment horizontal="left" indent="3"/>
    </xf>
    <xf numFmtId="0" fontId="1" fillId="10" borderId="15" xfId="0" applyNumberFormat="1" applyFont="1" applyFill="1" applyBorder="1" applyAlignment="1" applyProtection="1"/>
    <xf numFmtId="165" fontId="1" fillId="10" borderId="15" xfId="0" applyNumberFormat="1" applyFont="1" applyFill="1" applyBorder="1" applyAlignment="1" applyProtection="1"/>
    <xf numFmtId="6" fontId="1" fillId="10" borderId="15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0" borderId="14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0" fontId="10" fillId="0" borderId="104" xfId="0" applyFont="1" applyBorder="1"/>
    <xf numFmtId="0" fontId="10" fillId="0" borderId="105" xfId="0" applyFont="1" applyBorder="1"/>
    <xf numFmtId="0" fontId="10" fillId="0" borderId="105" xfId="0" applyFont="1" applyFill="1" applyBorder="1"/>
    <xf numFmtId="0" fontId="10" fillId="0" borderId="106" xfId="0" applyFont="1" applyFill="1" applyBorder="1"/>
    <xf numFmtId="0" fontId="0" fillId="19" borderId="43" xfId="0" applyFill="1" applyBorder="1"/>
    <xf numFmtId="0" fontId="0" fillId="19" borderId="0" xfId="0" applyFill="1" applyBorder="1"/>
    <xf numFmtId="0" fontId="0" fillId="19" borderId="44" xfId="0" applyFill="1" applyBorder="1"/>
    <xf numFmtId="0" fontId="0" fillId="23" borderId="43" xfId="0" applyFill="1" applyBorder="1"/>
    <xf numFmtId="0" fontId="0" fillId="23" borderId="0" xfId="0" applyFill="1" applyBorder="1"/>
    <xf numFmtId="0" fontId="0" fillId="23" borderId="44" xfId="0" applyFill="1" applyBorder="1"/>
    <xf numFmtId="0" fontId="0" fillId="10" borderId="43" xfId="0" applyFill="1" applyBorder="1"/>
    <xf numFmtId="0" fontId="0" fillId="10" borderId="0" xfId="0" applyFill="1" applyBorder="1"/>
    <xf numFmtId="0" fontId="0" fillId="10" borderId="44" xfId="0" applyFill="1" applyBorder="1"/>
    <xf numFmtId="0" fontId="0" fillId="10" borderId="45" xfId="0" applyFill="1" applyBorder="1"/>
    <xf numFmtId="0" fontId="0" fillId="10" borderId="46" xfId="0" applyFill="1" applyBorder="1"/>
    <xf numFmtId="0" fontId="0" fillId="10" borderId="47" xfId="0" applyFill="1" applyBorder="1"/>
    <xf numFmtId="0" fontId="0" fillId="20" borderId="43" xfId="0" applyFill="1" applyBorder="1"/>
    <xf numFmtId="0" fontId="0" fillId="20" borderId="0" xfId="0" applyFill="1" applyBorder="1"/>
    <xf numFmtId="0" fontId="0" fillId="20" borderId="44" xfId="0" applyFill="1" applyBorder="1"/>
    <xf numFmtId="0" fontId="0" fillId="18" borderId="43" xfId="0" applyFill="1" applyBorder="1"/>
    <xf numFmtId="0" fontId="0" fillId="18" borderId="0" xfId="0" applyFill="1" applyBorder="1"/>
    <xf numFmtId="0" fontId="0" fillId="18" borderId="44" xfId="0" applyFill="1" applyBorder="1"/>
    <xf numFmtId="0" fontId="0" fillId="3" borderId="28" xfId="0" applyFill="1" applyBorder="1" applyAlignment="1">
      <alignment horizontal="center"/>
    </xf>
    <xf numFmtId="44" fontId="0" fillId="3" borderId="80" xfId="1" applyFont="1" applyFill="1" applyBorder="1"/>
    <xf numFmtId="0" fontId="1" fillId="0" borderId="0" xfId="0" applyNumberFormat="1" applyFont="1" applyFill="1" applyBorder="1" applyAlignment="1" applyProtection="1">
      <alignment horizontal="left" vertical="top" wrapText="1" indent="3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26" borderId="56" xfId="0" applyNumberFormat="1" applyFont="1" applyFill="1" applyBorder="1" applyAlignment="1" applyProtection="1">
      <alignment horizontal="left" vertical="top" wrapText="1" indent="3"/>
    </xf>
    <xf numFmtId="0" fontId="2" fillId="26" borderId="15" xfId="0" applyNumberFormat="1" applyFont="1" applyFill="1" applyBorder="1" applyAlignment="1" applyProtection="1">
      <alignment horizontal="center" vertical="center"/>
    </xf>
    <xf numFmtId="0" fontId="1" fillId="26" borderId="15" xfId="0" applyNumberFormat="1" applyFont="1" applyFill="1" applyBorder="1" applyAlignment="1" applyProtection="1">
      <alignment horizontal="center" vertical="center"/>
    </xf>
    <xf numFmtId="0" fontId="1" fillId="26" borderId="65" xfId="0" applyNumberFormat="1" applyFont="1" applyFill="1" applyBorder="1" applyAlignment="1" applyProtection="1">
      <alignment horizontal="left" vertical="top"/>
    </xf>
    <xf numFmtId="0" fontId="1" fillId="0" borderId="46" xfId="0" applyNumberFormat="1" applyFont="1" applyFill="1" applyBorder="1" applyAlignment="1" applyProtection="1">
      <alignment horizontal="left" vertical="top" wrapText="1" indent="3"/>
    </xf>
    <xf numFmtId="0" fontId="2" fillId="0" borderId="46" xfId="0" applyNumberFormat="1" applyFont="1" applyFill="1" applyBorder="1" applyAlignment="1" applyProtection="1">
      <alignment horizontal="center" vertical="center"/>
    </xf>
    <xf numFmtId="0" fontId="1" fillId="0" borderId="46" xfId="0" applyNumberFormat="1" applyFont="1" applyFill="1" applyBorder="1" applyAlignment="1" applyProtection="1">
      <alignment horizontal="center" vertical="center"/>
    </xf>
    <xf numFmtId="0" fontId="1" fillId="0" borderId="46" xfId="0" applyNumberFormat="1" applyFont="1" applyFill="1" applyBorder="1" applyAlignment="1" applyProtection="1">
      <alignment horizontal="left" vertical="top"/>
    </xf>
    <xf numFmtId="165" fontId="0" fillId="0" borderId="5" xfId="0" applyNumberFormat="1" applyFill="1" applyBorder="1"/>
    <xf numFmtId="165" fontId="0" fillId="0" borderId="1" xfId="0" applyNumberFormat="1" applyFill="1" applyBorder="1"/>
    <xf numFmtId="0" fontId="1" fillId="19" borderId="56" xfId="0" applyNumberFormat="1" applyFont="1" applyFill="1" applyBorder="1" applyAlignment="1" applyProtection="1">
      <alignment wrapText="1"/>
    </xf>
    <xf numFmtId="0" fontId="0" fillId="19" borderId="15" xfId="0" applyFill="1" applyBorder="1" applyAlignment="1">
      <alignment horizontal="center" vertical="center"/>
    </xf>
    <xf numFmtId="0" fontId="47" fillId="23" borderId="52" xfId="0" applyNumberFormat="1" applyFont="1" applyFill="1" applyBorder="1" applyAlignment="1" applyProtection="1">
      <alignment wrapText="1"/>
    </xf>
    <xf numFmtId="0" fontId="32" fillId="24" borderId="52" xfId="0" applyFont="1" applyFill="1" applyBorder="1"/>
    <xf numFmtId="0" fontId="10" fillId="0" borderId="107" xfId="0" applyFont="1" applyBorder="1"/>
    <xf numFmtId="44" fontId="0" fillId="0" borderId="0" xfId="0" applyNumberFormat="1"/>
    <xf numFmtId="0" fontId="15" fillId="0" borderId="0" xfId="0" applyFont="1" applyFill="1" applyBorder="1"/>
    <xf numFmtId="0" fontId="21" fillId="8" borderId="26" xfId="0" applyFont="1" applyFill="1" applyBorder="1" applyAlignment="1">
      <alignment horizontal="center"/>
    </xf>
    <xf numFmtId="0" fontId="1" fillId="23" borderId="1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44" fontId="0" fillId="3" borderId="0" xfId="1" applyFont="1" applyFill="1" applyAlignment="1">
      <alignment horizontal="center"/>
    </xf>
    <xf numFmtId="0" fontId="13" fillId="0" borderId="61" xfId="0" applyFont="1" applyBorder="1" applyAlignment="1">
      <alignment horizontal="center" vertical="center"/>
    </xf>
    <xf numFmtId="0" fontId="41" fillId="27" borderId="63" xfId="0" applyFont="1" applyFill="1" applyBorder="1" applyAlignment="1">
      <alignment vertical="top" wrapText="1"/>
    </xf>
    <xf numFmtId="0" fontId="32" fillId="3" borderId="108" xfId="0" applyFont="1" applyFill="1" applyBorder="1" applyAlignment="1">
      <alignment vertical="center"/>
    </xf>
    <xf numFmtId="0" fontId="32" fillId="3" borderId="68" xfId="0" applyFont="1" applyFill="1" applyBorder="1" applyAlignment="1">
      <alignment wrapText="1"/>
    </xf>
    <xf numFmtId="0" fontId="34" fillId="0" borderId="68" xfId="0" applyFont="1" applyBorder="1" applyAlignment="1">
      <alignment wrapText="1"/>
    </xf>
    <xf numFmtId="0" fontId="0" fillId="3" borderId="68" xfId="0" applyFill="1" applyBorder="1" applyAlignment="1">
      <alignment horizontal="left" wrapText="1" indent="4"/>
    </xf>
    <xf numFmtId="0" fontId="10" fillId="0" borderId="68" xfId="0" applyFont="1" applyBorder="1" applyAlignment="1">
      <alignment wrapText="1"/>
    </xf>
    <xf numFmtId="0" fontId="0" fillId="3" borderId="68" xfId="0" applyFill="1" applyBorder="1" applyAlignment="1">
      <alignment wrapText="1"/>
    </xf>
    <xf numFmtId="0" fontId="31" fillId="3" borderId="68" xfId="0" applyFont="1" applyFill="1" applyBorder="1" applyAlignment="1">
      <alignment wrapText="1"/>
    </xf>
    <xf numFmtId="0" fontId="10" fillId="0" borderId="109" xfId="0" applyFont="1" applyBorder="1" applyAlignment="1">
      <alignment wrapText="1"/>
    </xf>
    <xf numFmtId="0" fontId="41" fillId="27" borderId="63" xfId="0" applyFont="1" applyFill="1" applyBorder="1" applyAlignment="1">
      <alignment wrapText="1"/>
    </xf>
    <xf numFmtId="0" fontId="0" fillId="3" borderId="108" xfId="0" applyFill="1" applyBorder="1" applyAlignment="1">
      <alignment wrapText="1"/>
    </xf>
    <xf numFmtId="0" fontId="26" fillId="3" borderId="68" xfId="0" applyFont="1" applyFill="1" applyBorder="1" applyAlignment="1">
      <alignment wrapText="1"/>
    </xf>
    <xf numFmtId="0" fontId="41" fillId="27" borderId="54" xfId="0" applyFont="1" applyFill="1" applyBorder="1" applyAlignment="1">
      <alignment wrapText="1"/>
    </xf>
    <xf numFmtId="0" fontId="0" fillId="3" borderId="108" xfId="0" applyFill="1" applyBorder="1" applyAlignment="1">
      <alignment horizontal="left" wrapText="1" indent="4"/>
    </xf>
    <xf numFmtId="0" fontId="41" fillId="27" borderId="63" xfId="0" applyFont="1" applyFill="1" applyBorder="1" applyAlignment="1" applyProtection="1">
      <alignment wrapText="1"/>
      <protection locked="0"/>
    </xf>
    <xf numFmtId="0" fontId="10" fillId="0" borderId="108" xfId="0" applyFont="1" applyBorder="1" applyAlignment="1" applyProtection="1">
      <alignment wrapText="1"/>
      <protection locked="0"/>
    </xf>
    <xf numFmtId="0" fontId="0" fillId="0" borderId="68" xfId="0" applyBorder="1" applyAlignment="1" applyProtection="1">
      <alignment horizontal="left" wrapText="1" indent="3"/>
      <protection locked="0"/>
    </xf>
    <xf numFmtId="0" fontId="10" fillId="0" borderId="68" xfId="0" applyFont="1" applyBorder="1" applyAlignment="1" applyProtection="1">
      <alignment wrapText="1"/>
      <protection locked="0"/>
    </xf>
    <xf numFmtId="0" fontId="0" fillId="0" borderId="68" xfId="0" applyBorder="1" applyAlignment="1">
      <alignment horizontal="left" indent="3"/>
    </xf>
    <xf numFmtId="0" fontId="10" fillId="0" borderId="109" xfId="0" applyFont="1" applyBorder="1" applyAlignment="1"/>
    <xf numFmtId="0" fontId="0" fillId="0" borderId="108" xfId="0" applyBorder="1" applyAlignment="1">
      <alignment wrapText="1"/>
    </xf>
    <xf numFmtId="0" fontId="41" fillId="27" borderId="108" xfId="0" applyFont="1" applyFill="1" applyBorder="1" applyAlignment="1"/>
    <xf numFmtId="0" fontId="0" fillId="0" borderId="68" xfId="0" applyBorder="1"/>
    <xf numFmtId="0" fontId="10" fillId="0" borderId="109" xfId="0" applyFont="1" applyBorder="1"/>
    <xf numFmtId="0" fontId="1" fillId="3" borderId="112" xfId="0" applyNumberFormat="1" applyFont="1" applyFill="1" applyBorder="1" applyAlignment="1" applyProtection="1">
      <alignment wrapText="1"/>
    </xf>
    <xf numFmtId="0" fontId="1" fillId="0" borderId="68" xfId="0" applyNumberFormat="1" applyFont="1" applyFill="1" applyBorder="1" applyAlignment="1" applyProtection="1">
      <alignment wrapText="1"/>
    </xf>
    <xf numFmtId="0" fontId="2" fillId="0" borderId="68" xfId="0" applyNumberFormat="1" applyFont="1" applyFill="1" applyBorder="1" applyAlignment="1" applyProtection="1">
      <alignment wrapText="1"/>
    </xf>
    <xf numFmtId="0" fontId="5" fillId="0" borderId="109" xfId="0" applyNumberFormat="1" applyFont="1" applyFill="1" applyBorder="1" applyAlignment="1" applyProtection="1">
      <alignment wrapText="1"/>
    </xf>
    <xf numFmtId="0" fontId="2" fillId="0" borderId="112" xfId="0" applyNumberFormat="1" applyFont="1" applyFill="1" applyBorder="1" applyAlignment="1" applyProtection="1"/>
    <xf numFmtId="0" fontId="2" fillId="0" borderId="68" xfId="0" applyNumberFormat="1" applyFont="1" applyFill="1" applyBorder="1" applyAlignment="1" applyProtection="1"/>
    <xf numFmtId="0" fontId="5" fillId="0" borderId="109" xfId="0" applyNumberFormat="1" applyFont="1" applyFill="1" applyBorder="1" applyAlignment="1" applyProtection="1"/>
    <xf numFmtId="0" fontId="1" fillId="0" borderId="112" xfId="0" applyNumberFormat="1" applyFont="1" applyFill="1" applyBorder="1" applyAlignment="1" applyProtection="1">
      <alignment wrapText="1"/>
    </xf>
    <xf numFmtId="0" fontId="5" fillId="0" borderId="110" xfId="0" applyNumberFormat="1" applyFont="1" applyFill="1" applyBorder="1" applyAlignment="1" applyProtection="1">
      <alignment wrapText="1"/>
    </xf>
    <xf numFmtId="0" fontId="1" fillId="0" borderId="112" xfId="0" applyNumberFormat="1" applyFont="1" applyFill="1" applyBorder="1" applyAlignment="1" applyProtection="1"/>
    <xf numFmtId="0" fontId="1" fillId="0" borderId="68" xfId="0" applyNumberFormat="1" applyFont="1" applyFill="1" applyBorder="1" applyAlignment="1" applyProtection="1"/>
    <xf numFmtId="0" fontId="5" fillId="0" borderId="110" xfId="0" applyNumberFormat="1" applyFont="1" applyFill="1" applyBorder="1" applyAlignment="1" applyProtection="1"/>
    <xf numFmtId="0" fontId="47" fillId="3" borderId="112" xfId="0" applyNumberFormat="1" applyFont="1" applyFill="1" applyBorder="1" applyAlignment="1" applyProtection="1">
      <alignment wrapText="1"/>
    </xf>
    <xf numFmtId="0" fontId="1" fillId="3" borderId="68" xfId="0" applyNumberFormat="1" applyFont="1" applyFill="1" applyBorder="1" applyAlignment="1" applyProtection="1">
      <alignment wrapText="1"/>
    </xf>
    <xf numFmtId="0" fontId="29" fillId="0" borderId="68" xfId="0" applyNumberFormat="1" applyFont="1" applyFill="1" applyBorder="1" applyAlignment="1" applyProtection="1">
      <alignment wrapText="1"/>
    </xf>
    <xf numFmtId="0" fontId="29" fillId="0" borderId="114" xfId="0" applyNumberFormat="1" applyFont="1" applyFill="1" applyBorder="1" applyAlignment="1" applyProtection="1">
      <alignment wrapText="1"/>
    </xf>
    <xf numFmtId="0" fontId="32" fillId="0" borderId="108" xfId="0" applyFont="1" applyBorder="1" applyAlignment="1">
      <alignment wrapText="1"/>
    </xf>
    <xf numFmtId="0" fontId="32" fillId="0" borderId="68" xfId="0" applyFont="1" applyBorder="1" applyAlignment="1">
      <alignment wrapText="1"/>
    </xf>
    <xf numFmtId="0" fontId="0" fillId="0" borderId="68" xfId="0" applyBorder="1" applyAlignment="1">
      <alignment wrapText="1"/>
    </xf>
    <xf numFmtId="0" fontId="0" fillId="0" borderId="68" xfId="0" applyBorder="1" applyAlignment="1">
      <alignment horizontal="left" wrapText="1" indent="4"/>
    </xf>
    <xf numFmtId="0" fontId="1" fillId="0" borderId="112" xfId="0" applyNumberFormat="1" applyFont="1" applyFill="1" applyBorder="1" applyAlignment="1" applyProtection="1">
      <alignment horizontal="left" vertical="center"/>
    </xf>
    <xf numFmtId="0" fontId="10" fillId="0" borderId="61" xfId="0" applyFont="1" applyBorder="1" applyAlignment="1">
      <alignment horizontal="center" vertical="center"/>
    </xf>
    <xf numFmtId="0" fontId="41" fillId="27" borderId="54" xfId="0" applyFont="1" applyFill="1" applyBorder="1" applyAlignment="1">
      <alignment vertical="top" wrapText="1"/>
    </xf>
    <xf numFmtId="0" fontId="47" fillId="0" borderId="68" xfId="0" applyNumberFormat="1" applyFont="1" applyFill="1" applyBorder="1" applyAlignment="1" applyProtection="1">
      <alignment wrapText="1"/>
    </xf>
    <xf numFmtId="0" fontId="1" fillId="0" borderId="66" xfId="0" applyNumberFormat="1" applyFont="1" applyFill="1" applyBorder="1" applyAlignment="1" applyProtection="1"/>
    <xf numFmtId="0" fontId="1" fillId="23" borderId="11" xfId="0" applyNumberFormat="1" applyFont="1" applyFill="1" applyBorder="1" applyAlignment="1" applyProtection="1">
      <alignment horizontal="center" wrapText="1"/>
    </xf>
    <xf numFmtId="0" fontId="32" fillId="23" borderId="52" xfId="0" applyFont="1" applyFill="1" applyBorder="1" applyAlignment="1">
      <alignment horizontal="left" indent="3"/>
    </xf>
    <xf numFmtId="0" fontId="1" fillId="20" borderId="11" xfId="0" applyNumberFormat="1" applyFont="1" applyFill="1" applyBorder="1" applyAlignment="1" applyProtection="1">
      <alignment horizontal="center" vertical="center"/>
    </xf>
    <xf numFmtId="2" fontId="0" fillId="0" borderId="71" xfId="5" applyNumberFormat="1" applyFont="1" applyFill="1" applyBorder="1" applyAlignment="1">
      <alignment horizontal="center"/>
    </xf>
    <xf numFmtId="2" fontId="0" fillId="0" borderId="28" xfId="5" applyNumberFormat="1" applyFont="1" applyFill="1" applyBorder="1" applyAlignment="1">
      <alignment horizontal="center"/>
    </xf>
    <xf numFmtId="0" fontId="0" fillId="0" borderId="83" xfId="0" applyFill="1" applyBorder="1"/>
    <xf numFmtId="9" fontId="47" fillId="0" borderId="71" xfId="2" applyFont="1" applyBorder="1" applyAlignment="1">
      <alignment horizontal="center" vertical="center" wrapText="1"/>
    </xf>
    <xf numFmtId="9" fontId="47" fillId="0" borderId="69" xfId="2" applyFont="1" applyBorder="1" applyAlignment="1">
      <alignment horizontal="center" vertical="center" wrapText="1"/>
    </xf>
    <xf numFmtId="9" fontId="47" fillId="0" borderId="78" xfId="2" applyFont="1" applyBorder="1" applyAlignment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/>
    </xf>
    <xf numFmtId="44" fontId="0" fillId="0" borderId="71" xfId="1" applyFont="1" applyFill="1" applyBorder="1" applyAlignment="1">
      <alignment vertical="center"/>
    </xf>
    <xf numFmtId="44" fontId="7" fillId="0" borderId="71" xfId="1" applyFont="1" applyFill="1" applyBorder="1"/>
    <xf numFmtId="44" fontId="7" fillId="0" borderId="78" xfId="1" applyFont="1" applyFill="1" applyBorder="1"/>
    <xf numFmtId="44" fontId="7" fillId="0" borderId="69" xfId="1" applyFont="1" applyFill="1" applyBorder="1"/>
    <xf numFmtId="44" fontId="0" fillId="0" borderId="69" xfId="1" applyFont="1" applyFill="1" applyBorder="1" applyAlignment="1">
      <alignment horizontal="center"/>
    </xf>
    <xf numFmtId="44" fontId="7" fillId="0" borderId="28" xfId="1" applyFont="1" applyFill="1" applyBorder="1"/>
    <xf numFmtId="44" fontId="0" fillId="0" borderId="78" xfId="1" applyFont="1" applyFill="1" applyBorder="1" applyAlignment="1">
      <alignment horizontal="center"/>
    </xf>
    <xf numFmtId="44" fontId="0" fillId="0" borderId="71" xfId="1" applyFont="1" applyFill="1" applyBorder="1"/>
    <xf numFmtId="44" fontId="7" fillId="0" borderId="28" xfId="1" applyFont="1" applyFill="1" applyBorder="1" applyProtection="1">
      <protection locked="0"/>
    </xf>
    <xf numFmtId="44" fontId="7" fillId="0" borderId="71" xfId="1" applyFont="1" applyFill="1" applyBorder="1" applyAlignment="1"/>
    <xf numFmtId="9" fontId="7" fillId="0" borderId="71" xfId="1" applyNumberFormat="1" applyFont="1" applyFill="1" applyBorder="1"/>
    <xf numFmtId="9" fontId="7" fillId="0" borderId="69" xfId="1" applyNumberFormat="1" applyFont="1" applyFill="1" applyBorder="1"/>
    <xf numFmtId="9" fontId="7" fillId="0" borderId="78" xfId="1" applyNumberFormat="1" applyFont="1" applyFill="1" applyBorder="1"/>
    <xf numFmtId="0" fontId="15" fillId="0" borderId="67" xfId="0" applyFont="1" applyFill="1" applyBorder="1" applyAlignment="1">
      <alignment vertical="top" wrapText="1"/>
    </xf>
    <xf numFmtId="0" fontId="0" fillId="0" borderId="76" xfId="0" applyFill="1" applyBorder="1" applyProtection="1">
      <protection locked="0"/>
    </xf>
    <xf numFmtId="0" fontId="0" fillId="0" borderId="73" xfId="0" applyFill="1" applyBorder="1" applyAlignment="1"/>
    <xf numFmtId="0" fontId="15" fillId="0" borderId="72" xfId="0" applyFont="1" applyFill="1" applyBorder="1" applyAlignment="1"/>
    <xf numFmtId="0" fontId="0" fillId="0" borderId="76" xfId="0" applyFill="1" applyBorder="1" applyAlignment="1">
      <alignment vertical="center"/>
    </xf>
    <xf numFmtId="0" fontId="2" fillId="0" borderId="53" xfId="0" applyNumberFormat="1" applyFont="1" applyFill="1" applyBorder="1" applyAlignment="1" applyProtection="1"/>
    <xf numFmtId="44" fontId="2" fillId="0" borderId="69" xfId="1" applyFont="1" applyFill="1" applyBorder="1" applyAlignment="1" applyProtection="1">
      <alignment vertical="center"/>
    </xf>
    <xf numFmtId="0" fontId="47" fillId="0" borderId="71" xfId="0" applyNumberFormat="1" applyFont="1" applyFill="1" applyBorder="1" applyAlignment="1" applyProtection="1">
      <alignment horizontal="center"/>
    </xf>
    <xf numFmtId="0" fontId="47" fillId="0" borderId="90" xfId="0" applyNumberFormat="1" applyFont="1" applyFill="1" applyBorder="1" applyAlignment="1" applyProtection="1">
      <alignment horizontal="center"/>
    </xf>
    <xf numFmtId="167" fontId="54" fillId="0" borderId="71" xfId="3" applyNumberFormat="1" applyFont="1" applyFill="1" applyBorder="1" applyAlignment="1" applyProtection="1">
      <alignment horizontal="right" wrapText="1"/>
    </xf>
    <xf numFmtId="167" fontId="54" fillId="0" borderId="78" xfId="3" applyNumberFormat="1" applyFont="1" applyFill="1" applyBorder="1" applyAlignment="1" applyProtection="1">
      <alignment horizontal="right" wrapText="1"/>
    </xf>
    <xf numFmtId="2" fontId="47" fillId="0" borderId="71" xfId="0" applyNumberFormat="1" applyFont="1" applyFill="1" applyBorder="1" applyAlignment="1" applyProtection="1">
      <alignment horizontal="center" wrapText="1"/>
    </xf>
    <xf numFmtId="2" fontId="47" fillId="0" borderId="78" xfId="0" applyNumberFormat="1" applyFont="1" applyFill="1" applyBorder="1" applyAlignment="1" applyProtection="1">
      <alignment horizontal="center" wrapText="1"/>
    </xf>
    <xf numFmtId="44" fontId="1" fillId="0" borderId="89" xfId="1" applyFont="1" applyFill="1" applyBorder="1" applyAlignment="1" applyProtection="1">
      <alignment horizontal="right"/>
    </xf>
    <xf numFmtId="44" fontId="1" fillId="0" borderId="69" xfId="1" applyFont="1" applyFill="1" applyBorder="1" applyAlignment="1" applyProtection="1">
      <alignment horizontal="right"/>
    </xf>
    <xf numFmtId="44" fontId="0" fillId="0" borderId="92" xfId="1" applyFont="1" applyFill="1" applyBorder="1" applyAlignment="1">
      <alignment horizontal="right"/>
    </xf>
    <xf numFmtId="44" fontId="47" fillId="0" borderId="71" xfId="1" applyFont="1" applyFill="1" applyBorder="1" applyAlignment="1" applyProtection="1"/>
    <xf numFmtId="44" fontId="47" fillId="0" borderId="90" xfId="1" applyFont="1" applyFill="1" applyBorder="1" applyAlignment="1" applyProtection="1"/>
    <xf numFmtId="44" fontId="1" fillId="0" borderId="69" xfId="1" applyFont="1" applyFill="1" applyBorder="1" applyAlignment="1" applyProtection="1">
      <alignment vertical="center"/>
    </xf>
    <xf numFmtId="44" fontId="1" fillId="0" borderId="78" xfId="1" applyFont="1" applyFill="1" applyBorder="1" applyAlignment="1">
      <alignment vertical="center" wrapText="1"/>
    </xf>
    <xf numFmtId="44" fontId="1" fillId="0" borderId="69" xfId="1" applyFont="1" applyFill="1" applyBorder="1" applyAlignment="1">
      <alignment vertical="center" wrapText="1"/>
    </xf>
    <xf numFmtId="9" fontId="2" fillId="0" borderId="69" xfId="1" applyNumberFormat="1" applyFont="1" applyFill="1" applyBorder="1" applyAlignment="1" applyProtection="1"/>
    <xf numFmtId="0" fontId="1" fillId="0" borderId="70" xfId="0" applyNumberFormat="1" applyFont="1" applyFill="1" applyBorder="1" applyAlignment="1" applyProtection="1"/>
    <xf numFmtId="0" fontId="3" fillId="0" borderId="70" xfId="0" applyNumberFormat="1" applyFont="1" applyFill="1" applyBorder="1" applyAlignment="1" applyProtection="1"/>
    <xf numFmtId="9" fontId="1" fillId="0" borderId="73" xfId="2" applyFont="1" applyFill="1" applyBorder="1">
      <alignment vertical="center" wrapText="1"/>
    </xf>
    <xf numFmtId="0" fontId="2" fillId="0" borderId="70" xfId="0" applyNumberFormat="1" applyFont="1" applyFill="1" applyBorder="1" applyAlignment="1" applyProtection="1"/>
    <xf numFmtId="0" fontId="1" fillId="0" borderId="53" xfId="0" applyNumberFormat="1" applyFont="1" applyFill="1" applyBorder="1" applyAlignment="1" applyProtection="1"/>
    <xf numFmtId="0" fontId="0" fillId="0" borderId="108" xfId="0" applyBorder="1"/>
    <xf numFmtId="165" fontId="7" fillId="0" borderId="71" xfId="1" applyNumberFormat="1" applyFont="1" applyFill="1" applyBorder="1"/>
    <xf numFmtId="44" fontId="0" fillId="10" borderId="11" xfId="1" applyFont="1" applyFill="1" applyBorder="1"/>
    <xf numFmtId="0" fontId="41" fillId="27" borderId="54" xfId="0" applyFont="1" applyFill="1" applyBorder="1" applyAlignment="1"/>
    <xf numFmtId="0" fontId="41" fillId="27" borderId="11" xfId="0" applyFont="1" applyFill="1" applyBorder="1" applyAlignment="1">
      <alignment horizontal="center"/>
    </xf>
    <xf numFmtId="44" fontId="41" fillId="27" borderId="11" xfId="1" applyFont="1" applyFill="1" applyBorder="1" applyAlignment="1"/>
    <xf numFmtId="0" fontId="41" fillId="27" borderId="11" xfId="0" applyFont="1" applyFill="1" applyBorder="1" applyAlignment="1"/>
    <xf numFmtId="0" fontId="1" fillId="3" borderId="89" xfId="0" applyNumberFormat="1" applyFont="1" applyFill="1" applyBorder="1" applyAlignment="1" applyProtection="1">
      <alignment wrapText="1"/>
    </xf>
    <xf numFmtId="0" fontId="1" fillId="0" borderId="89" xfId="0" applyNumberFormat="1" applyFont="1" applyFill="1" applyBorder="1" applyAlignment="1" applyProtection="1"/>
    <xf numFmtId="165" fontId="1" fillId="0" borderId="89" xfId="0" applyNumberFormat="1" applyFont="1" applyFill="1" applyBorder="1" applyAlignment="1" applyProtection="1"/>
    <xf numFmtId="9" fontId="1" fillId="0" borderId="89" xfId="3" applyFont="1" applyFill="1" applyBorder="1" applyAlignment="1" applyProtection="1"/>
    <xf numFmtId="6" fontId="1" fillId="0" borderId="89" xfId="0" applyNumberFormat="1" applyFont="1" applyFill="1" applyBorder="1" applyAlignment="1" applyProtection="1"/>
    <xf numFmtId="0" fontId="1" fillId="0" borderId="69" xfId="0" applyNumberFormat="1" applyFont="1" applyFill="1" applyBorder="1" applyAlignment="1" applyProtection="1">
      <alignment wrapText="1"/>
    </xf>
    <xf numFmtId="1" fontId="1" fillId="0" borderId="69" xfId="0" applyNumberFormat="1" applyFont="1" applyFill="1" applyBorder="1" applyAlignment="1" applyProtection="1">
      <alignment horizontal="center"/>
    </xf>
    <xf numFmtId="0" fontId="1" fillId="0" borderId="69" xfId="0" applyNumberFormat="1" applyFont="1" applyFill="1" applyBorder="1" applyAlignment="1" applyProtection="1"/>
    <xf numFmtId="165" fontId="1" fillId="0" borderId="69" xfId="0" applyNumberFormat="1" applyFont="1" applyFill="1" applyBorder="1" applyAlignment="1" applyProtection="1"/>
    <xf numFmtId="9" fontId="1" fillId="0" borderId="69" xfId="3" applyFont="1" applyFill="1" applyBorder="1" applyAlignment="1" applyProtection="1"/>
    <xf numFmtId="6" fontId="1" fillId="0" borderId="69" xfId="0" applyNumberFormat="1" applyFont="1" applyFill="1" applyBorder="1" applyAlignment="1" applyProtection="1"/>
    <xf numFmtId="0" fontId="1" fillId="0" borderId="90" xfId="0" applyNumberFormat="1" applyFont="1" applyFill="1" applyBorder="1" applyAlignment="1" applyProtection="1"/>
    <xf numFmtId="165" fontId="1" fillId="0" borderId="90" xfId="0" applyNumberFormat="1" applyFont="1" applyFill="1" applyBorder="1" applyAlignment="1" applyProtection="1"/>
    <xf numFmtId="9" fontId="1" fillId="0" borderId="90" xfId="3" applyFont="1" applyFill="1" applyBorder="1" applyAlignment="1" applyProtection="1"/>
    <xf numFmtId="6" fontId="1" fillId="0" borderId="90" xfId="0" applyNumberFormat="1" applyFont="1" applyFill="1" applyBorder="1" applyAlignment="1" applyProtection="1"/>
    <xf numFmtId="0" fontId="5" fillId="0" borderId="81" xfId="0" applyNumberFormat="1" applyFont="1" applyFill="1" applyBorder="1" applyAlignment="1" applyProtection="1">
      <alignment wrapText="1"/>
    </xf>
    <xf numFmtId="0" fontId="5" fillId="0" borderId="81" xfId="0" applyNumberFormat="1" applyFont="1" applyFill="1" applyBorder="1" applyAlignment="1" applyProtection="1"/>
    <xf numFmtId="0" fontId="1" fillId="10" borderId="81" xfId="0" applyNumberFormat="1" applyFont="1" applyFill="1" applyBorder="1" applyAlignment="1" applyProtection="1"/>
    <xf numFmtId="165" fontId="1" fillId="10" borderId="81" xfId="0" applyNumberFormat="1" applyFont="1" applyFill="1" applyBorder="1" applyAlignment="1" applyProtection="1"/>
    <xf numFmtId="168" fontId="1" fillId="0" borderId="89" xfId="1" applyNumberFormat="1" applyFont="1" applyFill="1" applyBorder="1" applyAlignment="1" applyProtection="1"/>
    <xf numFmtId="2" fontId="1" fillId="0" borderId="90" xfId="0" applyNumberFormat="1" applyFont="1" applyFill="1" applyBorder="1" applyAlignment="1" applyProtection="1"/>
    <xf numFmtId="168" fontId="1" fillId="0" borderId="90" xfId="0" applyNumberFormat="1" applyFont="1" applyFill="1" applyBorder="1" applyAlignment="1" applyProtection="1"/>
    <xf numFmtId="0" fontId="32" fillId="0" borderId="0" xfId="0" applyFont="1" applyBorder="1"/>
    <xf numFmtId="0" fontId="32" fillId="0" borderId="0" xfId="0" applyFont="1"/>
    <xf numFmtId="0" fontId="32" fillId="3" borderId="0" xfId="0" applyFont="1" applyFill="1" applyBorder="1"/>
    <xf numFmtId="0" fontId="32" fillId="3" borderId="0" xfId="0" applyFont="1" applyFill="1" applyBorder="1" applyAlignment="1">
      <alignment horizontal="center"/>
    </xf>
    <xf numFmtId="0" fontId="19" fillId="0" borderId="0" xfId="0" applyFont="1" applyBorder="1"/>
    <xf numFmtId="14" fontId="0" fillId="14" borderId="3" xfId="0" applyNumberFormat="1" applyFill="1" applyBorder="1" applyAlignment="1">
      <alignment horizontal="left"/>
    </xf>
    <xf numFmtId="0" fontId="14" fillId="3" borderId="0" xfId="0" applyFont="1" applyFill="1" applyBorder="1" applyAlignment="1">
      <alignment horizontal="center" vertical="center"/>
    </xf>
    <xf numFmtId="165" fontId="14" fillId="3" borderId="0" xfId="1" applyNumberFormat="1" applyFont="1" applyFill="1" applyBorder="1" applyAlignment="1">
      <alignment horizontal="center" vertical="center"/>
    </xf>
    <xf numFmtId="0" fontId="0" fillId="3" borderId="0" xfId="0" applyFont="1" applyFill="1" applyBorder="1"/>
    <xf numFmtId="0" fontId="1" fillId="3" borderId="0" xfId="0" applyNumberFormat="1" applyFont="1" applyFill="1" applyBorder="1" applyAlignment="1" applyProtection="1">
      <alignment horizontal="center"/>
    </xf>
    <xf numFmtId="0" fontId="1" fillId="3" borderId="0" xfId="0" applyNumberFormat="1" applyFont="1" applyFill="1" applyBorder="1" applyAlignment="1" applyProtection="1">
      <alignment horizontal="left" vertical="top"/>
    </xf>
    <xf numFmtId="0" fontId="0" fillId="3" borderId="0" xfId="0" applyFont="1" applyFill="1" applyBorder="1" applyAlignment="1">
      <alignment horizontal="left" indent="3"/>
    </xf>
    <xf numFmtId="0" fontId="0" fillId="3" borderId="0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/>
    </xf>
    <xf numFmtId="0" fontId="0" fillId="25" borderId="15" xfId="0" applyFill="1" applyBorder="1"/>
    <xf numFmtId="0" fontId="0" fillId="25" borderId="65" xfId="0" applyFont="1" applyFill="1" applyBorder="1" applyAlignment="1">
      <alignment horizontal="left" vertical="center"/>
    </xf>
    <xf numFmtId="0" fontId="0" fillId="25" borderId="56" xfId="0" applyFill="1" applyBorder="1"/>
    <xf numFmtId="0" fontId="0" fillId="25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 shrinkToFit="1"/>
    </xf>
    <xf numFmtId="0" fontId="0" fillId="28" borderId="1" xfId="0" applyFill="1" applyBorder="1" applyAlignment="1">
      <alignment horizontal="left" vertical="center" wrapText="1"/>
    </xf>
    <xf numFmtId="165" fontId="0" fillId="28" borderId="1" xfId="0" applyNumberFormat="1" applyFill="1" applyBorder="1" applyAlignment="1">
      <alignment horizontal="center" vertical="center" wrapText="1"/>
    </xf>
    <xf numFmtId="0" fontId="0" fillId="28" borderId="1" xfId="0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wrapText="1"/>
    </xf>
    <xf numFmtId="165" fontId="0" fillId="6" borderId="1" xfId="0" applyNumberFormat="1" applyFill="1" applyBorder="1" applyAlignment="1">
      <alignment horizontal="center" vertical="center" wrapText="1"/>
    </xf>
    <xf numFmtId="0" fontId="0" fillId="28" borderId="1" xfId="0" applyFill="1" applyBorder="1" applyAlignment="1">
      <alignment horizontal="right" wrapText="1"/>
    </xf>
    <xf numFmtId="0" fontId="50" fillId="0" borderId="30" xfId="0" applyFont="1" applyBorder="1" applyAlignment="1">
      <alignment wrapText="1"/>
    </xf>
    <xf numFmtId="0" fontId="24" fillId="0" borderId="4" xfId="0" applyFont="1" applyBorder="1" applyAlignment="1">
      <alignment wrapText="1"/>
    </xf>
    <xf numFmtId="0" fontId="24" fillId="0" borderId="4" xfId="0" applyFont="1" applyBorder="1" applyAlignment="1">
      <alignment vertical="center" wrapText="1"/>
    </xf>
    <xf numFmtId="0" fontId="0" fillId="0" borderId="115" xfId="0" applyFill="1" applyBorder="1"/>
    <xf numFmtId="44" fontId="1" fillId="0" borderId="71" xfId="1" applyFont="1" applyFill="1" applyBorder="1" applyAlignment="1">
      <alignment vertical="center" wrapText="1"/>
    </xf>
    <xf numFmtId="44" fontId="2" fillId="10" borderId="89" xfId="1" applyFont="1" applyFill="1" applyBorder="1" applyAlignment="1" applyProtection="1"/>
    <xf numFmtId="0" fontId="15" fillId="0" borderId="0" xfId="0" applyFont="1" applyAlignment="1">
      <alignment horizontal="center" vertical="center"/>
    </xf>
    <xf numFmtId="0" fontId="8" fillId="15" borderId="48" xfId="0" applyFont="1" applyFill="1" applyBorder="1" applyAlignment="1">
      <alignment horizontal="center" wrapText="1" shrinkToFit="1"/>
    </xf>
    <xf numFmtId="0" fontId="8" fillId="15" borderId="23" xfId="0" applyFont="1" applyFill="1" applyBorder="1" applyAlignment="1">
      <alignment horizontal="center" wrapText="1" shrinkToFit="1"/>
    </xf>
    <xf numFmtId="0" fontId="8" fillId="15" borderId="49" xfId="0" applyFont="1" applyFill="1" applyBorder="1" applyAlignment="1">
      <alignment horizontal="center" wrapText="1" shrinkToFit="1"/>
    </xf>
    <xf numFmtId="0" fontId="8" fillId="12" borderId="48" xfId="0" applyFont="1" applyFill="1" applyBorder="1" applyAlignment="1">
      <alignment horizontal="center"/>
    </xf>
    <xf numFmtId="0" fontId="8" fillId="12" borderId="23" xfId="0" applyFont="1" applyFill="1" applyBorder="1" applyAlignment="1">
      <alignment horizontal="center"/>
    </xf>
    <xf numFmtId="0" fontId="8" fillId="12" borderId="49" xfId="0" applyFont="1" applyFill="1" applyBorder="1" applyAlignment="1">
      <alignment horizontal="center"/>
    </xf>
    <xf numFmtId="0" fontId="0" fillId="0" borderId="44" xfId="0" applyFill="1" applyBorder="1" applyAlignment="1">
      <alignment horizontal="right" vertical="center"/>
    </xf>
    <xf numFmtId="0" fontId="39" fillId="3" borderId="103" xfId="0" applyNumberFormat="1" applyFont="1" applyFill="1" applyBorder="1" applyAlignment="1" applyProtection="1">
      <alignment horizontal="center" wrapText="1"/>
    </xf>
    <xf numFmtId="0" fontId="40" fillId="10" borderId="41" xfId="0" applyNumberFormat="1" applyFont="1" applyFill="1" applyBorder="1" applyAlignment="1" applyProtection="1">
      <alignment horizontal="center" wrapText="1"/>
    </xf>
    <xf numFmtId="0" fontId="40" fillId="10" borderId="42" xfId="0" applyNumberFormat="1" applyFont="1" applyFill="1" applyBorder="1" applyAlignment="1" applyProtection="1">
      <alignment horizontal="center" wrapText="1"/>
    </xf>
    <xf numFmtId="0" fontId="14" fillId="12" borderId="41" xfId="0" applyFont="1" applyFill="1" applyBorder="1" applyAlignment="1">
      <alignment horizontal="center" vertical="center" wrapText="1"/>
    </xf>
    <xf numFmtId="0" fontId="14" fillId="12" borderId="103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wrapText="1"/>
    </xf>
    <xf numFmtId="0" fontId="14" fillId="12" borderId="43" xfId="0" applyFont="1" applyFill="1" applyBorder="1" applyAlignment="1">
      <alignment horizontal="center" vertical="center" wrapText="1"/>
    </xf>
    <xf numFmtId="0" fontId="14" fillId="12" borderId="0" xfId="0" applyFont="1" applyFill="1" applyBorder="1" applyAlignment="1">
      <alignment horizontal="center" vertical="center" wrapText="1"/>
    </xf>
    <xf numFmtId="0" fontId="14" fillId="12" borderId="44" xfId="0" applyFont="1" applyFill="1" applyBorder="1" applyAlignment="1">
      <alignment horizontal="center" vertical="center" wrapText="1"/>
    </xf>
    <xf numFmtId="0" fontId="39" fillId="21" borderId="50" xfId="0" applyNumberFormat="1" applyFont="1" applyFill="1" applyBorder="1" applyAlignment="1" applyProtection="1">
      <alignment horizontal="center" wrapText="1"/>
    </xf>
    <xf numFmtId="0" fontId="39" fillId="21" borderId="2" xfId="0" applyNumberFormat="1" applyFont="1" applyFill="1" applyBorder="1" applyAlignment="1" applyProtection="1">
      <alignment horizontal="center" wrapText="1"/>
    </xf>
    <xf numFmtId="0" fontId="39" fillId="21" borderId="51" xfId="0" applyNumberFormat="1" applyFont="1" applyFill="1" applyBorder="1" applyAlignment="1" applyProtection="1">
      <alignment horizontal="center" wrapText="1"/>
    </xf>
    <xf numFmtId="0" fontId="39" fillId="22" borderId="57" xfId="0" applyNumberFormat="1" applyFont="1" applyFill="1" applyBorder="1" applyAlignment="1" applyProtection="1">
      <alignment horizontal="center" wrapText="1"/>
    </xf>
    <xf numFmtId="0" fontId="39" fillId="22" borderId="17" xfId="0" applyNumberFormat="1" applyFont="1" applyFill="1" applyBorder="1" applyAlignment="1" applyProtection="1">
      <alignment horizontal="center" wrapText="1"/>
    </xf>
    <xf numFmtId="0" fontId="39" fillId="22" borderId="58" xfId="0" applyNumberFormat="1" applyFont="1" applyFill="1" applyBorder="1" applyAlignment="1" applyProtection="1">
      <alignment horizontal="center" wrapText="1"/>
    </xf>
    <xf numFmtId="0" fontId="39" fillId="11" borderId="57" xfId="0" applyNumberFormat="1" applyFont="1" applyFill="1" applyBorder="1" applyAlignment="1" applyProtection="1">
      <alignment horizontal="center" wrapText="1"/>
    </xf>
    <xf numFmtId="0" fontId="39" fillId="11" borderId="17" xfId="0" applyNumberFormat="1" applyFont="1" applyFill="1" applyBorder="1" applyAlignment="1" applyProtection="1">
      <alignment horizontal="center" wrapText="1"/>
    </xf>
    <xf numFmtId="0" fontId="39" fillId="11" borderId="58" xfId="0" applyNumberFormat="1" applyFont="1" applyFill="1" applyBorder="1" applyAlignment="1" applyProtection="1">
      <alignment horizontal="center" wrapText="1"/>
    </xf>
    <xf numFmtId="0" fontId="39" fillId="16" borderId="102" xfId="0" applyNumberFormat="1" applyFont="1" applyFill="1" applyBorder="1" applyAlignment="1" applyProtection="1">
      <alignment horizontal="center" wrapText="1"/>
    </xf>
    <xf numFmtId="0" fontId="39" fillId="16" borderId="3" xfId="0" applyNumberFormat="1" applyFont="1" applyFill="1" applyBorder="1" applyAlignment="1" applyProtection="1">
      <alignment horizontal="center" wrapText="1"/>
    </xf>
    <xf numFmtId="0" fontId="39" fillId="16" borderId="96" xfId="0" applyNumberFormat="1" applyFont="1" applyFill="1" applyBorder="1" applyAlignment="1" applyProtection="1">
      <alignment horizontal="center" wrapText="1"/>
    </xf>
    <xf numFmtId="0" fontId="20" fillId="0" borderId="43" xfId="0" applyFont="1" applyBorder="1" applyAlignment="1">
      <alignment horizontal="center" vertical="center"/>
    </xf>
    <xf numFmtId="0" fontId="47" fillId="23" borderId="55" xfId="0" applyNumberFormat="1" applyFont="1" applyFill="1" applyBorder="1" applyAlignment="1" applyProtection="1">
      <alignment horizontal="left" wrapText="1"/>
    </xf>
    <xf numFmtId="0" fontId="47" fillId="23" borderId="54" xfId="0" applyNumberFormat="1" applyFont="1" applyFill="1" applyBorder="1" applyAlignment="1" applyProtection="1">
      <alignment horizontal="left" wrapText="1"/>
    </xf>
    <xf numFmtId="0" fontId="1" fillId="23" borderId="9" xfId="0" applyNumberFormat="1" applyFont="1" applyFill="1" applyBorder="1" applyAlignment="1" applyProtection="1">
      <alignment horizontal="center" vertical="center"/>
    </xf>
    <xf numFmtId="0" fontId="1" fillId="23" borderId="11" xfId="0" applyNumberFormat="1" applyFont="1" applyFill="1" applyBorder="1" applyAlignment="1" applyProtection="1">
      <alignment horizontal="center" vertical="center"/>
    </xf>
    <xf numFmtId="0" fontId="1" fillId="23" borderId="88" xfId="0" applyNumberFormat="1" applyFont="1" applyFill="1" applyBorder="1" applyAlignment="1" applyProtection="1">
      <alignment horizontal="center" vertical="top"/>
    </xf>
    <xf numFmtId="0" fontId="1" fillId="23" borderId="60" xfId="0" applyNumberFormat="1" applyFont="1" applyFill="1" applyBorder="1" applyAlignment="1" applyProtection="1">
      <alignment horizontal="center" vertical="top"/>
    </xf>
    <xf numFmtId="0" fontId="18" fillId="3" borderId="0" xfId="0" applyFont="1" applyFill="1" applyBorder="1" applyAlignment="1">
      <alignment horizontal="left"/>
    </xf>
    <xf numFmtId="0" fontId="14" fillId="0" borderId="110" xfId="0" applyFont="1" applyBorder="1" applyAlignment="1">
      <alignment horizontal="right"/>
    </xf>
    <xf numFmtId="0" fontId="14" fillId="0" borderId="36" xfId="0" applyFont="1" applyBorder="1" applyAlignment="1">
      <alignment horizontal="right"/>
    </xf>
    <xf numFmtId="0" fontId="14" fillId="0" borderId="111" xfId="0" applyFont="1" applyBorder="1" applyAlignment="1">
      <alignment horizontal="right"/>
    </xf>
    <xf numFmtId="0" fontId="14" fillId="0" borderId="81" xfId="0" applyFont="1" applyBorder="1" applyAlignment="1">
      <alignment horizontal="right"/>
    </xf>
    <xf numFmtId="0" fontId="0" fillId="0" borderId="2" xfId="1" applyNumberFormat="1" applyFont="1" applyFill="1" applyBorder="1" applyAlignment="1">
      <alignment horizontal="left"/>
    </xf>
    <xf numFmtId="0" fontId="53" fillId="21" borderId="48" xfId="0" applyFont="1" applyFill="1" applyBorder="1" applyAlignment="1">
      <alignment horizontal="center"/>
    </xf>
    <xf numFmtId="0" fontId="53" fillId="21" borderId="23" xfId="0" applyFont="1" applyFill="1" applyBorder="1" applyAlignment="1">
      <alignment horizontal="center"/>
    </xf>
    <xf numFmtId="0" fontId="53" fillId="21" borderId="49" xfId="0" applyFon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0" fontId="3" fillId="0" borderId="113" xfId="0" applyNumberFormat="1" applyFont="1" applyFill="1" applyBorder="1" applyAlignment="1" applyProtection="1">
      <alignment horizontal="right" vertical="center"/>
    </xf>
    <xf numFmtId="0" fontId="3" fillId="0" borderId="99" xfId="0" applyNumberFormat="1" applyFont="1" applyFill="1" applyBorder="1" applyAlignment="1" applyProtection="1">
      <alignment horizontal="right" vertical="center"/>
    </xf>
    <xf numFmtId="0" fontId="3" fillId="0" borderId="100" xfId="0" applyNumberFormat="1" applyFont="1" applyFill="1" applyBorder="1" applyAlignment="1" applyProtection="1">
      <alignment horizontal="right" vertical="center"/>
    </xf>
    <xf numFmtId="0" fontId="3" fillId="0" borderId="101" xfId="0" applyNumberFormat="1" applyFont="1" applyFill="1" applyBorder="1" applyAlignment="1" applyProtection="1">
      <alignment horizontal="right" vertical="center" wrapText="1"/>
    </xf>
    <xf numFmtId="0" fontId="3" fillId="0" borderId="95" xfId="0" applyNumberFormat="1" applyFont="1" applyFill="1" applyBorder="1" applyAlignment="1" applyProtection="1">
      <alignment horizontal="right" vertical="center" wrapText="1"/>
    </xf>
    <xf numFmtId="0" fontId="3" fillId="0" borderId="21" xfId="0" applyNumberFormat="1" applyFont="1" applyFill="1" applyBorder="1" applyAlignment="1" applyProtection="1">
      <alignment horizontal="right" vertical="center" wrapText="1"/>
    </xf>
    <xf numFmtId="0" fontId="3" fillId="0" borderId="102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right" vertical="center"/>
    </xf>
    <xf numFmtId="0" fontId="3" fillId="0" borderId="97" xfId="0" applyNumberFormat="1" applyFont="1" applyFill="1" applyBorder="1" applyAlignment="1" applyProtection="1">
      <alignment horizontal="right" vertical="center"/>
    </xf>
    <xf numFmtId="0" fontId="3" fillId="0" borderId="45" xfId="0" applyNumberFormat="1" applyFont="1" applyFill="1" applyBorder="1" applyAlignment="1" applyProtection="1">
      <alignment horizontal="right"/>
    </xf>
    <xf numFmtId="0" fontId="3" fillId="0" borderId="46" xfId="0" applyNumberFormat="1" applyFont="1" applyFill="1" applyBorder="1" applyAlignment="1" applyProtection="1">
      <alignment horizontal="right"/>
    </xf>
    <xf numFmtId="0" fontId="3" fillId="0" borderId="93" xfId="0" applyNumberFormat="1" applyFont="1" applyFill="1" applyBorder="1" applyAlignment="1" applyProtection="1">
      <alignment horizontal="right"/>
    </xf>
    <xf numFmtId="0" fontId="8" fillId="22" borderId="85" xfId="0" applyFont="1" applyFill="1" applyBorder="1" applyAlignment="1">
      <alignment horizontal="center" vertical="center" wrapText="1" shrinkToFit="1"/>
    </xf>
    <xf numFmtId="0" fontId="8" fillId="22" borderId="86" xfId="0" applyFont="1" applyFill="1" applyBorder="1" applyAlignment="1">
      <alignment horizontal="center" vertical="center" wrapText="1" shrinkToFit="1"/>
    </xf>
    <xf numFmtId="0" fontId="8" fillId="22" borderId="87" xfId="0" applyFont="1" applyFill="1" applyBorder="1" applyAlignment="1">
      <alignment horizontal="center" vertical="center" wrapText="1" shrinkToFit="1"/>
    </xf>
    <xf numFmtId="0" fontId="11" fillId="22" borderId="48" xfId="0" applyFont="1" applyFill="1" applyBorder="1" applyAlignment="1">
      <alignment horizontal="center" wrapText="1"/>
    </xf>
    <xf numFmtId="0" fontId="11" fillId="22" borderId="23" xfId="0" applyFont="1" applyFill="1" applyBorder="1" applyAlignment="1">
      <alignment horizontal="center" wrapText="1"/>
    </xf>
    <xf numFmtId="0" fontId="11" fillId="22" borderId="49" xfId="0" applyFont="1" applyFill="1" applyBorder="1" applyAlignment="1">
      <alignment horizontal="center" wrapText="1"/>
    </xf>
    <xf numFmtId="0" fontId="53" fillId="11" borderId="48" xfId="0" applyFont="1" applyFill="1" applyBorder="1" applyAlignment="1">
      <alignment horizontal="center"/>
    </xf>
    <xf numFmtId="0" fontId="53" fillId="11" borderId="23" xfId="0" applyFont="1" applyFill="1" applyBorder="1" applyAlignment="1">
      <alignment horizontal="center"/>
    </xf>
    <xf numFmtId="0" fontId="53" fillId="11" borderId="49" xfId="0" applyFont="1" applyFill="1" applyBorder="1" applyAlignment="1">
      <alignment horizontal="center"/>
    </xf>
    <xf numFmtId="0" fontId="3" fillId="0" borderId="98" xfId="0" applyNumberFormat="1" applyFont="1" applyFill="1" applyBorder="1" applyAlignment="1" applyProtection="1">
      <alignment horizontal="right" vertical="center"/>
    </xf>
    <xf numFmtId="0" fontId="21" fillId="8" borderId="26" xfId="0" applyFont="1" applyFill="1" applyBorder="1" applyAlignment="1">
      <alignment horizontal="center"/>
    </xf>
    <xf numFmtId="0" fontId="21" fillId="8" borderId="27" xfId="0" applyFont="1" applyFill="1" applyBorder="1" applyAlignment="1">
      <alignment horizontal="center"/>
    </xf>
    <xf numFmtId="0" fontId="21" fillId="1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8" fillId="16" borderId="48" xfId="0" applyFont="1" applyFill="1" applyBorder="1" applyAlignment="1">
      <alignment horizontal="center" vertical="center" wrapText="1" shrinkToFit="1"/>
    </xf>
    <xf numFmtId="0" fontId="8" fillId="16" borderId="23" xfId="0" applyFont="1" applyFill="1" applyBorder="1" applyAlignment="1">
      <alignment horizontal="center" vertical="center" wrapText="1" shrinkToFit="1"/>
    </xf>
    <xf numFmtId="0" fontId="8" fillId="16" borderId="49" xfId="0" applyFont="1" applyFill="1" applyBorder="1" applyAlignment="1">
      <alignment horizontal="center" vertical="center" wrapText="1" shrinkToFit="1"/>
    </xf>
    <xf numFmtId="0" fontId="46" fillId="7" borderId="26" xfId="0" applyFont="1" applyFill="1" applyBorder="1" applyAlignment="1">
      <alignment horizontal="center"/>
    </xf>
    <xf numFmtId="0" fontId="46" fillId="7" borderId="84" xfId="0" applyFont="1" applyFill="1" applyBorder="1" applyAlignment="1">
      <alignment horizontal="center"/>
    </xf>
    <xf numFmtId="0" fontId="46" fillId="7" borderId="27" xfId="0" applyFont="1" applyFill="1" applyBorder="1" applyAlignment="1">
      <alignment horizontal="center"/>
    </xf>
    <xf numFmtId="0" fontId="10" fillId="3" borderId="80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 vertical="center" wrapText="1"/>
      <protection locked="0"/>
    </xf>
  </cellXfs>
  <cellStyles count="6">
    <cellStyle name="Check Cell" xfId="4" builtinId="23"/>
    <cellStyle name="Comma" xfId="5" builtinId="3"/>
    <cellStyle name="Currency" xfId="1" builtinId="4"/>
    <cellStyle name="Normal" xfId="0" builtinId="0"/>
    <cellStyle name="Percent" xfId="3" builtinId="5"/>
    <cellStyle name="Style 1" xfId="2"/>
  </cellStyles>
  <dxfs count="7">
    <dxf>
      <fill>
        <patternFill>
          <bgColor theme="1"/>
        </patternFill>
      </fill>
    </dxf>
    <dxf>
      <fill>
        <patternFill>
          <bgColor rgb="FFFF00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EA00F0"/>
        </patternFill>
      </fill>
    </dxf>
  </dxfs>
  <tableStyles count="0" defaultTableStyle="TableStyleMedium2" defaultPivotStyle="PivotStyleLight16"/>
  <colors>
    <mruColors>
      <color rgb="FFFF00FF"/>
      <color rgb="FFFFFA00"/>
      <color rgb="FFFFFF99"/>
      <color rgb="FFECF856"/>
      <color rgb="FFFFFFCC"/>
      <color rgb="FF4EE055"/>
      <color rgb="FFEA0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J$65" lockText="1" noThreeD="1"/>
</file>

<file path=xl/ctrlProps/ctrlProp10.xml><?xml version="1.0" encoding="utf-8"?>
<formControlPr xmlns="http://schemas.microsoft.com/office/spreadsheetml/2009/9/main" objectType="CheckBox" fmlaLink="$J$75" lockText="1" noThreeD="1"/>
</file>

<file path=xl/ctrlProps/ctrlProp11.xml><?xml version="1.0" encoding="utf-8"?>
<formControlPr xmlns="http://schemas.microsoft.com/office/spreadsheetml/2009/9/main" objectType="CheckBox" fmlaLink="$J$76" lockText="1" noThreeD="1"/>
</file>

<file path=xl/ctrlProps/ctrlProp12.xml><?xml version="1.0" encoding="utf-8"?>
<formControlPr xmlns="http://schemas.microsoft.com/office/spreadsheetml/2009/9/main" objectType="CheckBox" fmlaLink="$J$77" lockText="1" noThreeD="1"/>
</file>

<file path=xl/ctrlProps/ctrlProp13.xml><?xml version="1.0" encoding="utf-8"?>
<formControlPr xmlns="http://schemas.microsoft.com/office/spreadsheetml/2009/9/main" objectType="CheckBox" fmlaLink="$J$78" lockText="1" noThreeD="1"/>
</file>

<file path=xl/ctrlProps/ctrlProp14.xml><?xml version="1.0" encoding="utf-8"?>
<formControlPr xmlns="http://schemas.microsoft.com/office/spreadsheetml/2009/9/main" objectType="CheckBox" fmlaLink="$J$79" lockText="1" noThreeD="1"/>
</file>

<file path=xl/ctrlProps/ctrlProp15.xml><?xml version="1.0" encoding="utf-8"?>
<formControlPr xmlns="http://schemas.microsoft.com/office/spreadsheetml/2009/9/main" objectType="CheckBox" fmlaLink="$J$80" lockText="1" noThreeD="1"/>
</file>

<file path=xl/ctrlProps/ctrlProp16.xml><?xml version="1.0" encoding="utf-8"?>
<formControlPr xmlns="http://schemas.microsoft.com/office/spreadsheetml/2009/9/main" objectType="CheckBox" fmlaLink="$J$81" lockText="1" noThreeD="1"/>
</file>

<file path=xl/ctrlProps/ctrlProp17.xml><?xml version="1.0" encoding="utf-8"?>
<formControlPr xmlns="http://schemas.microsoft.com/office/spreadsheetml/2009/9/main" objectType="CheckBox" fmlaLink="$J$82" lockText="1" noThreeD="1"/>
</file>

<file path=xl/ctrlProps/ctrlProp18.xml><?xml version="1.0" encoding="utf-8"?>
<formControlPr xmlns="http://schemas.microsoft.com/office/spreadsheetml/2009/9/main" objectType="CheckBox" fmlaLink="$J$83" lockText="1" noThreeD="1"/>
</file>

<file path=xl/ctrlProps/ctrlProp19.xml><?xml version="1.0" encoding="utf-8"?>
<formControlPr xmlns="http://schemas.microsoft.com/office/spreadsheetml/2009/9/main" objectType="CheckBox" fmlaLink="$J$84" lockText="1" noThreeD="1"/>
</file>

<file path=xl/ctrlProps/ctrlProp2.xml><?xml version="1.0" encoding="utf-8"?>
<formControlPr xmlns="http://schemas.microsoft.com/office/spreadsheetml/2009/9/main" objectType="CheckBox" fmlaLink="$J$66" lockText="1" noThreeD="1"/>
</file>

<file path=xl/ctrlProps/ctrlProp20.xml><?xml version="1.0" encoding="utf-8"?>
<formControlPr xmlns="http://schemas.microsoft.com/office/spreadsheetml/2009/9/main" objectType="CheckBox" fmlaLink="$J$85" lockText="1" noThreeD="1"/>
</file>

<file path=xl/ctrlProps/ctrlProp21.xml><?xml version="1.0" encoding="utf-8"?>
<formControlPr xmlns="http://schemas.microsoft.com/office/spreadsheetml/2009/9/main" objectType="CheckBox" fmlaLink="$J$72" lockText="1" noThreeD="1"/>
</file>

<file path=xl/ctrlProps/ctrlProp22.xml><?xml version="1.0" encoding="utf-8"?>
<formControlPr xmlns="http://schemas.microsoft.com/office/spreadsheetml/2009/9/main" objectType="CheckBox" fmlaLink="$J$86" lockText="1" noThreeD="1"/>
</file>

<file path=xl/ctrlProps/ctrlProp23.xml><?xml version="1.0" encoding="utf-8"?>
<formControlPr xmlns="http://schemas.microsoft.com/office/spreadsheetml/2009/9/main" objectType="CheckBox" fmlaLink="$J$65" lockText="1" noThreeD="1"/>
</file>

<file path=xl/ctrlProps/ctrlProp24.xml><?xml version="1.0" encoding="utf-8"?>
<formControlPr xmlns="http://schemas.microsoft.com/office/spreadsheetml/2009/9/main" objectType="CheckBox" fmlaLink="$J$65" lockText="1" noThreeD="1"/>
</file>

<file path=xl/ctrlProps/ctrlProp25.xml><?xml version="1.0" encoding="utf-8"?>
<formControlPr xmlns="http://schemas.microsoft.com/office/spreadsheetml/2009/9/main" objectType="CheckBox" fmlaLink="$J$65" lockText="1" noThreeD="1"/>
</file>

<file path=xl/ctrlProps/ctrlProp26.xml><?xml version="1.0" encoding="utf-8"?>
<formControlPr xmlns="http://schemas.microsoft.com/office/spreadsheetml/2009/9/main" objectType="CheckBox" fmlaLink="$J$65" lockText="1" noThreeD="1"/>
</file>

<file path=xl/ctrlProps/ctrlProp27.xml><?xml version="1.0" encoding="utf-8"?>
<formControlPr xmlns="http://schemas.microsoft.com/office/spreadsheetml/2009/9/main" objectType="CheckBox" fmlaLink="$J$65" lockText="1" noThreeD="1"/>
</file>

<file path=xl/ctrlProps/ctrlProp28.xml><?xml version="1.0" encoding="utf-8"?>
<formControlPr xmlns="http://schemas.microsoft.com/office/spreadsheetml/2009/9/main" objectType="CheckBox" fmlaLink="$J$65" lockText="1" noThreeD="1"/>
</file>

<file path=xl/ctrlProps/ctrlProp29.xml><?xml version="1.0" encoding="utf-8"?>
<formControlPr xmlns="http://schemas.microsoft.com/office/spreadsheetml/2009/9/main" objectType="CheckBox" fmlaLink="$J$65" lockText="1" noThreeD="1"/>
</file>

<file path=xl/ctrlProps/ctrlProp3.xml><?xml version="1.0" encoding="utf-8"?>
<formControlPr xmlns="http://schemas.microsoft.com/office/spreadsheetml/2009/9/main" objectType="CheckBox" fmlaLink="$J$67" lockText="1" noThreeD="1"/>
</file>

<file path=xl/ctrlProps/ctrlProp30.xml><?xml version="1.0" encoding="utf-8"?>
<formControlPr xmlns="http://schemas.microsoft.com/office/spreadsheetml/2009/9/main" objectType="CheckBox" fmlaLink="$J$65" lockText="1" noThreeD="1"/>
</file>

<file path=xl/ctrlProps/ctrlProp31.xml><?xml version="1.0" encoding="utf-8"?>
<formControlPr xmlns="http://schemas.microsoft.com/office/spreadsheetml/2009/9/main" objectType="CheckBox" fmlaLink="$J$65" lockText="1" noThreeD="1"/>
</file>

<file path=xl/ctrlProps/ctrlProp32.xml><?xml version="1.0" encoding="utf-8"?>
<formControlPr xmlns="http://schemas.microsoft.com/office/spreadsheetml/2009/9/main" objectType="CheckBox" fmlaLink="$J$65" lockText="1" noThreeD="1"/>
</file>

<file path=xl/ctrlProps/ctrlProp33.xml><?xml version="1.0" encoding="utf-8"?>
<formControlPr xmlns="http://schemas.microsoft.com/office/spreadsheetml/2009/9/main" objectType="CheckBox" fmlaLink="$J$65" lockText="1" noThreeD="1"/>
</file>

<file path=xl/ctrlProps/ctrlProp34.xml><?xml version="1.0" encoding="utf-8"?>
<formControlPr xmlns="http://schemas.microsoft.com/office/spreadsheetml/2009/9/main" objectType="CheckBox" fmlaLink="$J$65" lockText="1" noThreeD="1"/>
</file>

<file path=xl/ctrlProps/ctrlProp35.xml><?xml version="1.0" encoding="utf-8"?>
<formControlPr xmlns="http://schemas.microsoft.com/office/spreadsheetml/2009/9/main" objectType="CheckBox" fmlaLink="$J$65" lockText="1" noThreeD="1"/>
</file>

<file path=xl/ctrlProps/ctrlProp36.xml><?xml version="1.0" encoding="utf-8"?>
<formControlPr xmlns="http://schemas.microsoft.com/office/spreadsheetml/2009/9/main" objectType="CheckBox" fmlaLink="$J$65" lockText="1" noThreeD="1"/>
</file>

<file path=xl/ctrlProps/ctrlProp37.xml><?xml version="1.0" encoding="utf-8"?>
<formControlPr xmlns="http://schemas.microsoft.com/office/spreadsheetml/2009/9/main" objectType="CheckBox" fmlaLink="$J$65" lockText="1" noThreeD="1"/>
</file>

<file path=xl/ctrlProps/ctrlProp38.xml><?xml version="1.0" encoding="utf-8"?>
<formControlPr xmlns="http://schemas.microsoft.com/office/spreadsheetml/2009/9/main" objectType="CheckBox" fmlaLink="$J$65" lockText="1" noThreeD="1"/>
</file>

<file path=xl/ctrlProps/ctrlProp39.xml><?xml version="1.0" encoding="utf-8"?>
<formControlPr xmlns="http://schemas.microsoft.com/office/spreadsheetml/2009/9/main" objectType="CheckBox" fmlaLink="$J$65" lockText="1" noThreeD="1"/>
</file>

<file path=xl/ctrlProps/ctrlProp4.xml><?xml version="1.0" encoding="utf-8"?>
<formControlPr xmlns="http://schemas.microsoft.com/office/spreadsheetml/2009/9/main" objectType="CheckBox" fmlaLink="$J$68" lockText="1" noThreeD="1"/>
</file>

<file path=xl/ctrlProps/ctrlProp40.xml><?xml version="1.0" encoding="utf-8"?>
<formControlPr xmlns="http://schemas.microsoft.com/office/spreadsheetml/2009/9/main" objectType="CheckBox" fmlaLink="$N$65" lockText="1" noThreeD="1"/>
</file>

<file path=xl/ctrlProps/ctrlProp41.xml><?xml version="1.0" encoding="utf-8"?>
<formControlPr xmlns="http://schemas.microsoft.com/office/spreadsheetml/2009/9/main" objectType="CheckBox" fmlaLink="$N$66" lockText="1" noThreeD="1"/>
</file>

<file path=xl/ctrlProps/ctrlProp42.xml><?xml version="1.0" encoding="utf-8"?>
<formControlPr xmlns="http://schemas.microsoft.com/office/spreadsheetml/2009/9/main" objectType="CheckBox" fmlaLink="$N$67" lockText="1" noThreeD="1"/>
</file>

<file path=xl/ctrlProps/ctrlProp43.xml><?xml version="1.0" encoding="utf-8"?>
<formControlPr xmlns="http://schemas.microsoft.com/office/spreadsheetml/2009/9/main" objectType="CheckBox" fmlaLink="$N$68" lockText="1" noThreeD="1"/>
</file>

<file path=xl/ctrlProps/ctrlProp44.xml><?xml version="1.0" encoding="utf-8"?>
<formControlPr xmlns="http://schemas.microsoft.com/office/spreadsheetml/2009/9/main" objectType="CheckBox" fmlaLink="$N$69" lockText="1" noThreeD="1"/>
</file>

<file path=xl/ctrlProps/ctrlProp45.xml><?xml version="1.0" encoding="utf-8"?>
<formControlPr xmlns="http://schemas.microsoft.com/office/spreadsheetml/2009/9/main" objectType="CheckBox" fmlaLink="$N$70" lockText="1" noThreeD="1"/>
</file>

<file path=xl/ctrlProps/ctrlProp46.xml><?xml version="1.0" encoding="utf-8"?>
<formControlPr xmlns="http://schemas.microsoft.com/office/spreadsheetml/2009/9/main" objectType="CheckBox" fmlaLink="$N$73" lockText="1" noThreeD="1"/>
</file>

<file path=xl/ctrlProps/ctrlProp47.xml><?xml version="1.0" encoding="utf-8"?>
<formControlPr xmlns="http://schemas.microsoft.com/office/spreadsheetml/2009/9/main" objectType="CheckBox" fmlaLink="$N$71" lockText="1" noThreeD="1"/>
</file>

<file path=xl/ctrlProps/ctrlProp48.xml><?xml version="1.0" encoding="utf-8"?>
<formControlPr xmlns="http://schemas.microsoft.com/office/spreadsheetml/2009/9/main" objectType="CheckBox" fmlaLink="$N$74" lockText="1" noThreeD="1"/>
</file>

<file path=xl/ctrlProps/ctrlProp49.xml><?xml version="1.0" encoding="utf-8"?>
<formControlPr xmlns="http://schemas.microsoft.com/office/spreadsheetml/2009/9/main" objectType="CheckBox" fmlaLink="$N$75" lockText="1" noThreeD="1"/>
</file>

<file path=xl/ctrlProps/ctrlProp5.xml><?xml version="1.0" encoding="utf-8"?>
<formControlPr xmlns="http://schemas.microsoft.com/office/spreadsheetml/2009/9/main" objectType="CheckBox" fmlaLink="$J$69" lockText="1" noThreeD="1"/>
</file>

<file path=xl/ctrlProps/ctrlProp50.xml><?xml version="1.0" encoding="utf-8"?>
<formControlPr xmlns="http://schemas.microsoft.com/office/spreadsheetml/2009/9/main" objectType="CheckBox" fmlaLink="$N$76" lockText="1" noThreeD="1"/>
</file>

<file path=xl/ctrlProps/ctrlProp51.xml><?xml version="1.0" encoding="utf-8"?>
<formControlPr xmlns="http://schemas.microsoft.com/office/spreadsheetml/2009/9/main" objectType="CheckBox" fmlaLink="$N$77" lockText="1" noThreeD="1"/>
</file>

<file path=xl/ctrlProps/ctrlProp52.xml><?xml version="1.0" encoding="utf-8"?>
<formControlPr xmlns="http://schemas.microsoft.com/office/spreadsheetml/2009/9/main" objectType="CheckBox" fmlaLink="$N$78" lockText="1" noThreeD="1"/>
</file>

<file path=xl/ctrlProps/ctrlProp53.xml><?xml version="1.0" encoding="utf-8"?>
<formControlPr xmlns="http://schemas.microsoft.com/office/spreadsheetml/2009/9/main" objectType="CheckBox" fmlaLink="$N$79" lockText="1" noThreeD="1"/>
</file>

<file path=xl/ctrlProps/ctrlProp54.xml><?xml version="1.0" encoding="utf-8"?>
<formControlPr xmlns="http://schemas.microsoft.com/office/spreadsheetml/2009/9/main" objectType="CheckBox" fmlaLink="$N$80" lockText="1" noThreeD="1"/>
</file>

<file path=xl/ctrlProps/ctrlProp55.xml><?xml version="1.0" encoding="utf-8"?>
<formControlPr xmlns="http://schemas.microsoft.com/office/spreadsheetml/2009/9/main" objectType="CheckBox" fmlaLink="$N$81" lockText="1" noThreeD="1"/>
</file>

<file path=xl/ctrlProps/ctrlProp56.xml><?xml version="1.0" encoding="utf-8"?>
<formControlPr xmlns="http://schemas.microsoft.com/office/spreadsheetml/2009/9/main" objectType="CheckBox" fmlaLink="$N$82" lockText="1" noThreeD="1"/>
</file>

<file path=xl/ctrlProps/ctrlProp57.xml><?xml version="1.0" encoding="utf-8"?>
<formControlPr xmlns="http://schemas.microsoft.com/office/spreadsheetml/2009/9/main" objectType="CheckBox" fmlaLink="$N$83" lockText="1" noThreeD="1"/>
</file>

<file path=xl/ctrlProps/ctrlProp58.xml><?xml version="1.0" encoding="utf-8"?>
<formControlPr xmlns="http://schemas.microsoft.com/office/spreadsheetml/2009/9/main" objectType="CheckBox" fmlaLink="$N$84" lockText="1" noThreeD="1"/>
</file>

<file path=xl/ctrlProps/ctrlProp59.xml><?xml version="1.0" encoding="utf-8"?>
<formControlPr xmlns="http://schemas.microsoft.com/office/spreadsheetml/2009/9/main" objectType="CheckBox" fmlaLink="$N$85" lockText="1" noThreeD="1"/>
</file>

<file path=xl/ctrlProps/ctrlProp6.xml><?xml version="1.0" encoding="utf-8"?>
<formControlPr xmlns="http://schemas.microsoft.com/office/spreadsheetml/2009/9/main" objectType="CheckBox" fmlaLink="$J$70" lockText="1" noThreeD="1"/>
</file>

<file path=xl/ctrlProps/ctrlProp60.xml><?xml version="1.0" encoding="utf-8"?>
<formControlPr xmlns="http://schemas.microsoft.com/office/spreadsheetml/2009/9/main" objectType="CheckBox" fmlaLink="$N$72" lockText="1" noThreeD="1"/>
</file>

<file path=xl/ctrlProps/ctrlProp61.xml><?xml version="1.0" encoding="utf-8"?>
<formControlPr xmlns="http://schemas.microsoft.com/office/spreadsheetml/2009/9/main" objectType="CheckBox" fmlaLink="$J$65" lockText="1" noThreeD="1"/>
</file>

<file path=xl/ctrlProps/ctrlProp62.xml><?xml version="1.0" encoding="utf-8"?>
<formControlPr xmlns="http://schemas.microsoft.com/office/spreadsheetml/2009/9/main" objectType="CheckBox" fmlaLink="$N$86" lockText="1" noThreeD="1"/>
</file>

<file path=xl/ctrlProps/ctrlProp63.xml><?xml version="1.0" encoding="utf-8"?>
<formControlPr xmlns="http://schemas.microsoft.com/office/spreadsheetml/2009/9/main" objectType="CheckBox" fmlaLink="$J$65" lockText="1" noThreeD="1"/>
</file>

<file path=xl/ctrlProps/ctrlProp64.xml><?xml version="1.0" encoding="utf-8"?>
<formControlPr xmlns="http://schemas.microsoft.com/office/spreadsheetml/2009/9/main" objectType="CheckBox" fmlaLink="$N$87" lockText="1" noThreeD="1"/>
</file>

<file path=xl/ctrlProps/ctrlProp65.xml><?xml version="1.0" encoding="utf-8"?>
<formControlPr xmlns="http://schemas.microsoft.com/office/spreadsheetml/2009/9/main" objectType="CheckBox" fmlaLink="$J$65" lockText="1" noThreeD="1"/>
</file>

<file path=xl/ctrlProps/ctrlProp66.xml><?xml version="1.0" encoding="utf-8"?>
<formControlPr xmlns="http://schemas.microsoft.com/office/spreadsheetml/2009/9/main" objectType="CheckBox" fmlaLink="$N$88" lockText="1" noThreeD="1"/>
</file>

<file path=xl/ctrlProps/ctrlProp7.xml><?xml version="1.0" encoding="utf-8"?>
<formControlPr xmlns="http://schemas.microsoft.com/office/spreadsheetml/2009/9/main" objectType="CheckBox" fmlaLink="$J$73" lockText="1" noThreeD="1"/>
</file>

<file path=xl/ctrlProps/ctrlProp8.xml><?xml version="1.0" encoding="utf-8"?>
<formControlPr xmlns="http://schemas.microsoft.com/office/spreadsheetml/2009/9/main" objectType="CheckBox" fmlaLink="$J$71" lockText="1" noThreeD="1"/>
</file>

<file path=xl/ctrlProps/ctrlProp9.xml><?xml version="1.0" encoding="utf-8"?>
<formControlPr xmlns="http://schemas.microsoft.com/office/spreadsheetml/2009/9/main" objectType="CheckBox" fmlaLink="$J$7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64</xdr:row>
          <xdr:rowOff>0</xdr:rowOff>
        </xdr:from>
        <xdr:to>
          <xdr:col>8</xdr:col>
          <xdr:colOff>533400</xdr:colOff>
          <xdr:row>65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65</xdr:row>
          <xdr:rowOff>0</xdr:rowOff>
        </xdr:from>
        <xdr:to>
          <xdr:col>8</xdr:col>
          <xdr:colOff>533400</xdr:colOff>
          <xdr:row>65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66</xdr:row>
          <xdr:rowOff>0</xdr:rowOff>
        </xdr:from>
        <xdr:to>
          <xdr:col>8</xdr:col>
          <xdr:colOff>533400</xdr:colOff>
          <xdr:row>66</xdr:row>
          <xdr:rowOff>209550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67</xdr:row>
          <xdr:rowOff>0</xdr:rowOff>
        </xdr:from>
        <xdr:to>
          <xdr:col>8</xdr:col>
          <xdr:colOff>533400</xdr:colOff>
          <xdr:row>67</xdr:row>
          <xdr:rowOff>209550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68</xdr:row>
          <xdr:rowOff>0</xdr:rowOff>
        </xdr:from>
        <xdr:to>
          <xdr:col>8</xdr:col>
          <xdr:colOff>533400</xdr:colOff>
          <xdr:row>68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69</xdr:row>
          <xdr:rowOff>0</xdr:rowOff>
        </xdr:from>
        <xdr:to>
          <xdr:col>8</xdr:col>
          <xdr:colOff>533400</xdr:colOff>
          <xdr:row>69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72</xdr:row>
          <xdr:rowOff>133350</xdr:rowOff>
        </xdr:from>
        <xdr:to>
          <xdr:col>8</xdr:col>
          <xdr:colOff>533400</xdr:colOff>
          <xdr:row>72</xdr:row>
          <xdr:rowOff>342900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70</xdr:row>
          <xdr:rowOff>0</xdr:rowOff>
        </xdr:from>
        <xdr:to>
          <xdr:col>8</xdr:col>
          <xdr:colOff>533400</xdr:colOff>
          <xdr:row>71</xdr:row>
          <xdr:rowOff>57150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73</xdr:row>
          <xdr:rowOff>0</xdr:rowOff>
        </xdr:from>
        <xdr:to>
          <xdr:col>8</xdr:col>
          <xdr:colOff>533400</xdr:colOff>
          <xdr:row>73</xdr:row>
          <xdr:rowOff>209550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74</xdr:row>
          <xdr:rowOff>0</xdr:rowOff>
        </xdr:from>
        <xdr:to>
          <xdr:col>8</xdr:col>
          <xdr:colOff>533400</xdr:colOff>
          <xdr:row>74</xdr:row>
          <xdr:rowOff>209550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75</xdr:row>
          <xdr:rowOff>0</xdr:rowOff>
        </xdr:from>
        <xdr:to>
          <xdr:col>8</xdr:col>
          <xdr:colOff>533400</xdr:colOff>
          <xdr:row>75</xdr:row>
          <xdr:rowOff>209550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76</xdr:row>
          <xdr:rowOff>0</xdr:rowOff>
        </xdr:from>
        <xdr:to>
          <xdr:col>8</xdr:col>
          <xdr:colOff>533400</xdr:colOff>
          <xdr:row>76</xdr:row>
          <xdr:rowOff>209550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77</xdr:row>
          <xdr:rowOff>0</xdr:rowOff>
        </xdr:from>
        <xdr:to>
          <xdr:col>8</xdr:col>
          <xdr:colOff>533400</xdr:colOff>
          <xdr:row>77</xdr:row>
          <xdr:rowOff>209550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78</xdr:row>
          <xdr:rowOff>0</xdr:rowOff>
        </xdr:from>
        <xdr:to>
          <xdr:col>8</xdr:col>
          <xdr:colOff>533400</xdr:colOff>
          <xdr:row>78</xdr:row>
          <xdr:rowOff>209550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79</xdr:row>
          <xdr:rowOff>0</xdr:rowOff>
        </xdr:from>
        <xdr:to>
          <xdr:col>8</xdr:col>
          <xdr:colOff>533400</xdr:colOff>
          <xdr:row>79</xdr:row>
          <xdr:rowOff>209550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80</xdr:row>
          <xdr:rowOff>0</xdr:rowOff>
        </xdr:from>
        <xdr:to>
          <xdr:col>8</xdr:col>
          <xdr:colOff>533400</xdr:colOff>
          <xdr:row>80</xdr:row>
          <xdr:rowOff>209550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81</xdr:row>
          <xdr:rowOff>0</xdr:rowOff>
        </xdr:from>
        <xdr:to>
          <xdr:col>8</xdr:col>
          <xdr:colOff>533400</xdr:colOff>
          <xdr:row>81</xdr:row>
          <xdr:rowOff>209550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82</xdr:row>
          <xdr:rowOff>0</xdr:rowOff>
        </xdr:from>
        <xdr:to>
          <xdr:col>8</xdr:col>
          <xdr:colOff>533400</xdr:colOff>
          <xdr:row>83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83</xdr:row>
          <xdr:rowOff>0</xdr:rowOff>
        </xdr:from>
        <xdr:to>
          <xdr:col>8</xdr:col>
          <xdr:colOff>533400</xdr:colOff>
          <xdr:row>83</xdr:row>
          <xdr:rowOff>209550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84</xdr:row>
          <xdr:rowOff>0</xdr:rowOff>
        </xdr:from>
        <xdr:to>
          <xdr:col>8</xdr:col>
          <xdr:colOff>533400</xdr:colOff>
          <xdr:row>84</xdr:row>
          <xdr:rowOff>209550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70</xdr:row>
          <xdr:rowOff>200025</xdr:rowOff>
        </xdr:from>
        <xdr:to>
          <xdr:col>8</xdr:col>
          <xdr:colOff>533400</xdr:colOff>
          <xdr:row>72</xdr:row>
          <xdr:rowOff>57150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85</xdr:row>
          <xdr:rowOff>0</xdr:rowOff>
        </xdr:from>
        <xdr:to>
          <xdr:col>8</xdr:col>
          <xdr:colOff>533400</xdr:colOff>
          <xdr:row>85</xdr:row>
          <xdr:rowOff>209550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64</xdr:row>
          <xdr:rowOff>0</xdr:rowOff>
        </xdr:from>
        <xdr:to>
          <xdr:col>12</xdr:col>
          <xdr:colOff>409575</xdr:colOff>
          <xdr:row>65</xdr:row>
          <xdr:rowOff>19050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65</xdr:row>
          <xdr:rowOff>0</xdr:rowOff>
        </xdr:from>
        <xdr:to>
          <xdr:col>12</xdr:col>
          <xdr:colOff>400050</xdr:colOff>
          <xdr:row>65</xdr:row>
          <xdr:rowOff>209550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66</xdr:row>
          <xdr:rowOff>0</xdr:rowOff>
        </xdr:from>
        <xdr:to>
          <xdr:col>12</xdr:col>
          <xdr:colOff>400050</xdr:colOff>
          <xdr:row>66</xdr:row>
          <xdr:rowOff>209550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67</xdr:row>
          <xdr:rowOff>0</xdr:rowOff>
        </xdr:from>
        <xdr:to>
          <xdr:col>12</xdr:col>
          <xdr:colOff>400050</xdr:colOff>
          <xdr:row>67</xdr:row>
          <xdr:rowOff>209550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68</xdr:row>
          <xdr:rowOff>0</xdr:rowOff>
        </xdr:from>
        <xdr:to>
          <xdr:col>12</xdr:col>
          <xdr:colOff>400050</xdr:colOff>
          <xdr:row>68</xdr:row>
          <xdr:rowOff>209550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69</xdr:row>
          <xdr:rowOff>0</xdr:rowOff>
        </xdr:from>
        <xdr:to>
          <xdr:col>12</xdr:col>
          <xdr:colOff>400050</xdr:colOff>
          <xdr:row>69</xdr:row>
          <xdr:rowOff>209550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73</xdr:row>
          <xdr:rowOff>0</xdr:rowOff>
        </xdr:from>
        <xdr:to>
          <xdr:col>12</xdr:col>
          <xdr:colOff>400050</xdr:colOff>
          <xdr:row>73</xdr:row>
          <xdr:rowOff>209550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74</xdr:row>
          <xdr:rowOff>0</xdr:rowOff>
        </xdr:from>
        <xdr:to>
          <xdr:col>12</xdr:col>
          <xdr:colOff>400050</xdr:colOff>
          <xdr:row>74</xdr:row>
          <xdr:rowOff>209550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75</xdr:row>
          <xdr:rowOff>0</xdr:rowOff>
        </xdr:from>
        <xdr:to>
          <xdr:col>12</xdr:col>
          <xdr:colOff>400050</xdr:colOff>
          <xdr:row>75</xdr:row>
          <xdr:rowOff>209550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76</xdr:row>
          <xdr:rowOff>0</xdr:rowOff>
        </xdr:from>
        <xdr:to>
          <xdr:col>12</xdr:col>
          <xdr:colOff>400050</xdr:colOff>
          <xdr:row>76</xdr:row>
          <xdr:rowOff>209550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77</xdr:row>
          <xdr:rowOff>0</xdr:rowOff>
        </xdr:from>
        <xdr:to>
          <xdr:col>12</xdr:col>
          <xdr:colOff>400050</xdr:colOff>
          <xdr:row>77</xdr:row>
          <xdr:rowOff>209550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78</xdr:row>
          <xdr:rowOff>0</xdr:rowOff>
        </xdr:from>
        <xdr:to>
          <xdr:col>12</xdr:col>
          <xdr:colOff>400050</xdr:colOff>
          <xdr:row>78</xdr:row>
          <xdr:rowOff>209550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79</xdr:row>
          <xdr:rowOff>0</xdr:rowOff>
        </xdr:from>
        <xdr:to>
          <xdr:col>12</xdr:col>
          <xdr:colOff>400050</xdr:colOff>
          <xdr:row>79</xdr:row>
          <xdr:rowOff>209550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80</xdr:row>
          <xdr:rowOff>0</xdr:rowOff>
        </xdr:from>
        <xdr:to>
          <xdr:col>12</xdr:col>
          <xdr:colOff>400050</xdr:colOff>
          <xdr:row>80</xdr:row>
          <xdr:rowOff>209550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81</xdr:row>
          <xdr:rowOff>0</xdr:rowOff>
        </xdr:from>
        <xdr:to>
          <xdr:col>12</xdr:col>
          <xdr:colOff>400050</xdr:colOff>
          <xdr:row>81</xdr:row>
          <xdr:rowOff>209550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83</xdr:row>
          <xdr:rowOff>0</xdr:rowOff>
        </xdr:from>
        <xdr:to>
          <xdr:col>12</xdr:col>
          <xdr:colOff>400050</xdr:colOff>
          <xdr:row>83</xdr:row>
          <xdr:rowOff>209550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84</xdr:row>
          <xdr:rowOff>0</xdr:rowOff>
        </xdr:from>
        <xdr:to>
          <xdr:col>12</xdr:col>
          <xdr:colOff>400050</xdr:colOff>
          <xdr:row>84</xdr:row>
          <xdr:rowOff>209550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64</xdr:row>
          <xdr:rowOff>0</xdr:rowOff>
        </xdr:from>
        <xdr:to>
          <xdr:col>12</xdr:col>
          <xdr:colOff>409575</xdr:colOff>
          <xdr:row>65</xdr:row>
          <xdr:rowOff>19050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65</xdr:row>
          <xdr:rowOff>0</xdr:rowOff>
        </xdr:from>
        <xdr:to>
          <xdr:col>12</xdr:col>
          <xdr:colOff>400050</xdr:colOff>
          <xdr:row>65</xdr:row>
          <xdr:rowOff>209550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66</xdr:row>
          <xdr:rowOff>0</xdr:rowOff>
        </xdr:from>
        <xdr:to>
          <xdr:col>12</xdr:col>
          <xdr:colOff>400050</xdr:colOff>
          <xdr:row>66</xdr:row>
          <xdr:rowOff>209550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67</xdr:row>
          <xdr:rowOff>0</xdr:rowOff>
        </xdr:from>
        <xdr:to>
          <xdr:col>12</xdr:col>
          <xdr:colOff>400050</xdr:colOff>
          <xdr:row>67</xdr:row>
          <xdr:rowOff>209550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68</xdr:row>
          <xdr:rowOff>0</xdr:rowOff>
        </xdr:from>
        <xdr:to>
          <xdr:col>12</xdr:col>
          <xdr:colOff>400050</xdr:colOff>
          <xdr:row>68</xdr:row>
          <xdr:rowOff>209550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69</xdr:row>
          <xdr:rowOff>0</xdr:rowOff>
        </xdr:from>
        <xdr:to>
          <xdr:col>12</xdr:col>
          <xdr:colOff>400050</xdr:colOff>
          <xdr:row>69</xdr:row>
          <xdr:rowOff>209550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72</xdr:row>
          <xdr:rowOff>142875</xdr:rowOff>
        </xdr:from>
        <xdr:to>
          <xdr:col>12</xdr:col>
          <xdr:colOff>400050</xdr:colOff>
          <xdr:row>72</xdr:row>
          <xdr:rowOff>352425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69</xdr:row>
          <xdr:rowOff>228600</xdr:rowOff>
        </xdr:from>
        <xdr:to>
          <xdr:col>12</xdr:col>
          <xdr:colOff>400050</xdr:colOff>
          <xdr:row>71</xdr:row>
          <xdr:rowOff>9525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73</xdr:row>
          <xdr:rowOff>0</xdr:rowOff>
        </xdr:from>
        <xdr:to>
          <xdr:col>12</xdr:col>
          <xdr:colOff>400050</xdr:colOff>
          <xdr:row>73</xdr:row>
          <xdr:rowOff>209550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74</xdr:row>
          <xdr:rowOff>0</xdr:rowOff>
        </xdr:from>
        <xdr:to>
          <xdr:col>12</xdr:col>
          <xdr:colOff>400050</xdr:colOff>
          <xdr:row>74</xdr:row>
          <xdr:rowOff>209550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75</xdr:row>
          <xdr:rowOff>0</xdr:rowOff>
        </xdr:from>
        <xdr:to>
          <xdr:col>12</xdr:col>
          <xdr:colOff>400050</xdr:colOff>
          <xdr:row>75</xdr:row>
          <xdr:rowOff>209550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76</xdr:row>
          <xdr:rowOff>0</xdr:rowOff>
        </xdr:from>
        <xdr:to>
          <xdr:col>12</xdr:col>
          <xdr:colOff>400050</xdr:colOff>
          <xdr:row>76</xdr:row>
          <xdr:rowOff>209550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77</xdr:row>
          <xdr:rowOff>0</xdr:rowOff>
        </xdr:from>
        <xdr:to>
          <xdr:col>12</xdr:col>
          <xdr:colOff>400050</xdr:colOff>
          <xdr:row>77</xdr:row>
          <xdr:rowOff>209550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78</xdr:row>
          <xdr:rowOff>0</xdr:rowOff>
        </xdr:from>
        <xdr:to>
          <xdr:col>12</xdr:col>
          <xdr:colOff>400050</xdr:colOff>
          <xdr:row>78</xdr:row>
          <xdr:rowOff>209550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79</xdr:row>
          <xdr:rowOff>0</xdr:rowOff>
        </xdr:from>
        <xdr:to>
          <xdr:col>12</xdr:col>
          <xdr:colOff>400050</xdr:colOff>
          <xdr:row>79</xdr:row>
          <xdr:rowOff>209550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80</xdr:row>
          <xdr:rowOff>0</xdr:rowOff>
        </xdr:from>
        <xdr:to>
          <xdr:col>12</xdr:col>
          <xdr:colOff>400050</xdr:colOff>
          <xdr:row>80</xdr:row>
          <xdr:rowOff>209550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81</xdr:row>
          <xdr:rowOff>0</xdr:rowOff>
        </xdr:from>
        <xdr:to>
          <xdr:col>12</xdr:col>
          <xdr:colOff>400050</xdr:colOff>
          <xdr:row>81</xdr:row>
          <xdr:rowOff>209550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81</xdr:row>
          <xdr:rowOff>200025</xdr:rowOff>
        </xdr:from>
        <xdr:to>
          <xdr:col>12</xdr:col>
          <xdr:colOff>400050</xdr:colOff>
          <xdr:row>82</xdr:row>
          <xdr:rowOff>228600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83</xdr:row>
          <xdr:rowOff>0</xdr:rowOff>
        </xdr:from>
        <xdr:to>
          <xdr:col>12</xdr:col>
          <xdr:colOff>400050</xdr:colOff>
          <xdr:row>83</xdr:row>
          <xdr:rowOff>209550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84</xdr:row>
          <xdr:rowOff>0</xdr:rowOff>
        </xdr:from>
        <xdr:to>
          <xdr:col>12</xdr:col>
          <xdr:colOff>400050</xdr:colOff>
          <xdr:row>84</xdr:row>
          <xdr:rowOff>209550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70</xdr:row>
          <xdr:rowOff>190500</xdr:rowOff>
        </xdr:from>
        <xdr:to>
          <xdr:col>12</xdr:col>
          <xdr:colOff>400050</xdr:colOff>
          <xdr:row>72</xdr:row>
          <xdr:rowOff>38100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85</xdr:row>
          <xdr:rowOff>0</xdr:rowOff>
        </xdr:from>
        <xdr:to>
          <xdr:col>12</xdr:col>
          <xdr:colOff>400050</xdr:colOff>
          <xdr:row>85</xdr:row>
          <xdr:rowOff>209550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85</xdr:row>
          <xdr:rowOff>0</xdr:rowOff>
        </xdr:from>
        <xdr:to>
          <xdr:col>12</xdr:col>
          <xdr:colOff>400050</xdr:colOff>
          <xdr:row>85</xdr:row>
          <xdr:rowOff>209550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86</xdr:row>
          <xdr:rowOff>0</xdr:rowOff>
        </xdr:from>
        <xdr:to>
          <xdr:col>12</xdr:col>
          <xdr:colOff>400050</xdr:colOff>
          <xdr:row>86</xdr:row>
          <xdr:rowOff>209550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86</xdr:row>
          <xdr:rowOff>0</xdr:rowOff>
        </xdr:from>
        <xdr:to>
          <xdr:col>12</xdr:col>
          <xdr:colOff>400050</xdr:colOff>
          <xdr:row>86</xdr:row>
          <xdr:rowOff>209550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87</xdr:row>
          <xdr:rowOff>0</xdr:rowOff>
        </xdr:from>
        <xdr:to>
          <xdr:col>12</xdr:col>
          <xdr:colOff>400050</xdr:colOff>
          <xdr:row>87</xdr:row>
          <xdr:rowOff>209550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87</xdr:row>
          <xdr:rowOff>0</xdr:rowOff>
        </xdr:from>
        <xdr:to>
          <xdr:col>12</xdr:col>
          <xdr:colOff>400050</xdr:colOff>
          <xdr:row>87</xdr:row>
          <xdr:rowOff>209550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249977111117893"/>
  </sheetPr>
  <dimension ref="A1:O107"/>
  <sheetViews>
    <sheetView tabSelected="1" view="pageBreakPreview" topLeftCell="A21" zoomScale="70" zoomScaleNormal="70" zoomScaleSheetLayoutView="70" workbookViewId="0">
      <selection activeCell="B46" sqref="B46"/>
    </sheetView>
  </sheetViews>
  <sheetFormatPr defaultRowHeight="15" x14ac:dyDescent="0.25"/>
  <cols>
    <col min="2" max="2" width="87.5703125" bestFit="1" customWidth="1"/>
    <col min="3" max="3" width="27.28515625" bestFit="1" customWidth="1"/>
    <col min="4" max="4" width="22.85546875" customWidth="1"/>
    <col min="5" max="5" width="32.140625" customWidth="1"/>
    <col min="6" max="6" width="9.140625" style="10"/>
    <col min="7" max="7" width="22.28515625" customWidth="1"/>
    <col min="11" max="11" width="19.85546875" bestFit="1" customWidth="1"/>
  </cols>
  <sheetData>
    <row r="1" spans="1:11" ht="15.75" thickBot="1" x14ac:dyDescent="0.3">
      <c r="A1" s="9"/>
      <c r="B1" s="21"/>
      <c r="C1" s="21"/>
      <c r="D1" s="21"/>
      <c r="E1" s="22"/>
    </row>
    <row r="2" spans="1:11" ht="30" customHeight="1" thickTop="1" thickBot="1" x14ac:dyDescent="0.55000000000000004">
      <c r="A2" s="9"/>
      <c r="B2" s="712" t="s">
        <v>459</v>
      </c>
      <c r="C2" s="713"/>
      <c r="D2" s="713"/>
      <c r="E2" s="714"/>
      <c r="G2" s="93"/>
    </row>
    <row r="3" spans="1:11" ht="15" customHeight="1" thickTop="1" x14ac:dyDescent="0.4">
      <c r="A3" s="9"/>
      <c r="B3" s="99"/>
      <c r="C3" s="100"/>
      <c r="D3" s="100"/>
      <c r="E3" s="101"/>
    </row>
    <row r="4" spans="1:11" ht="15" customHeight="1" thickTop="1" x14ac:dyDescent="0.25">
      <c r="A4" s="9"/>
      <c r="B4" s="104" t="s">
        <v>106</v>
      </c>
      <c r="C4" s="105"/>
      <c r="D4" s="106"/>
      <c r="E4" s="107"/>
    </row>
    <row r="5" spans="1:11" ht="15" customHeight="1" x14ac:dyDescent="0.25">
      <c r="A5" s="9"/>
      <c r="B5" s="102" t="s">
        <v>460</v>
      </c>
      <c r="C5" s="108"/>
      <c r="D5" s="103"/>
      <c r="E5" s="109"/>
    </row>
    <row r="6" spans="1:11" ht="15" customHeight="1" x14ac:dyDescent="0.25">
      <c r="A6" s="9"/>
      <c r="B6" s="104" t="s">
        <v>181</v>
      </c>
      <c r="C6" s="685"/>
      <c r="D6" s="106"/>
      <c r="E6" s="107"/>
    </row>
    <row r="7" spans="1:11" s="2" customFormat="1" ht="15" customHeight="1" x14ac:dyDescent="0.25">
      <c r="A7" s="9"/>
      <c r="B7" s="102" t="s">
        <v>108</v>
      </c>
      <c r="C7" s="108"/>
      <c r="D7" s="103"/>
      <c r="E7" s="109"/>
      <c r="F7" s="10"/>
    </row>
    <row r="8" spans="1:11" s="2" customFormat="1" ht="15" customHeight="1" x14ac:dyDescent="0.25">
      <c r="A8" s="9"/>
      <c r="B8" s="104" t="s">
        <v>182</v>
      </c>
      <c r="C8" s="105"/>
      <c r="D8" s="106"/>
      <c r="E8" s="107"/>
      <c r="F8" s="10"/>
    </row>
    <row r="9" spans="1:11" s="2" customFormat="1" ht="15" customHeight="1" x14ac:dyDescent="0.25">
      <c r="A9" s="9"/>
      <c r="B9" s="102" t="s">
        <v>107</v>
      </c>
      <c r="C9" s="108"/>
      <c r="D9" s="103"/>
      <c r="E9" s="109"/>
      <c r="F9" s="10"/>
    </row>
    <row r="10" spans="1:11" ht="15.75" thickBot="1" x14ac:dyDescent="0.3">
      <c r="A10" s="9"/>
      <c r="B10" s="110"/>
      <c r="C10" s="111"/>
      <c r="D10" s="112"/>
      <c r="E10" s="113"/>
    </row>
    <row r="11" spans="1:11" s="2" customFormat="1" ht="16.5" thickTop="1" thickBot="1" x14ac:dyDescent="0.3">
      <c r="A11" s="9"/>
      <c r="B11" s="114"/>
      <c r="C11" s="6"/>
      <c r="D11" s="93"/>
      <c r="E11" s="97"/>
      <c r="F11" s="10"/>
    </row>
    <row r="12" spans="1:11" ht="30" customHeight="1" thickTop="1" thickBot="1" x14ac:dyDescent="0.55000000000000004">
      <c r="A12" s="9"/>
      <c r="B12" s="715" t="s">
        <v>109</v>
      </c>
      <c r="C12" s="716"/>
      <c r="D12" s="716"/>
      <c r="E12" s="717"/>
      <c r="K12" s="9"/>
    </row>
    <row r="13" spans="1:11" s="2" customFormat="1" ht="24.75" thickTop="1" thickBot="1" x14ac:dyDescent="0.3">
      <c r="A13" s="9"/>
      <c r="B13" s="115" t="s">
        <v>195</v>
      </c>
      <c r="C13" s="116" t="s">
        <v>190</v>
      </c>
      <c r="D13" s="117">
        <f>VLOOKUP(C13,DATA!A2:B8,2,FALSE)</f>
        <v>0</v>
      </c>
      <c r="E13" s="118"/>
      <c r="F13" s="10"/>
    </row>
    <row r="14" spans="1:11" ht="30" customHeight="1" thickTop="1" thickBot="1" x14ac:dyDescent="0.55000000000000004">
      <c r="A14" s="93"/>
      <c r="B14" s="728" t="s">
        <v>407</v>
      </c>
      <c r="C14" s="729"/>
      <c r="D14" s="729"/>
      <c r="E14" s="730"/>
      <c r="G14" s="722" t="s">
        <v>302</v>
      </c>
      <c r="H14" s="723"/>
      <c r="I14" s="723"/>
      <c r="J14" s="724"/>
    </row>
    <row r="15" spans="1:11" ht="15" customHeight="1" thickTop="1" thickBot="1" x14ac:dyDescent="0.3">
      <c r="A15" s="93"/>
      <c r="B15" s="128" t="s">
        <v>22</v>
      </c>
      <c r="C15" s="129" t="s">
        <v>0</v>
      </c>
      <c r="D15" s="129" t="s">
        <v>1</v>
      </c>
      <c r="E15" s="130" t="s">
        <v>80</v>
      </c>
      <c r="G15" s="725"/>
      <c r="H15" s="726"/>
      <c r="I15" s="726"/>
      <c r="J15" s="727"/>
    </row>
    <row r="16" spans="1:11" s="2" customFormat="1" ht="15" customHeight="1" x14ac:dyDescent="0.25">
      <c r="A16" s="93">
        <v>1</v>
      </c>
      <c r="B16" s="120" t="s">
        <v>116</v>
      </c>
      <c r="C16" s="131"/>
      <c r="D16" s="132" t="s">
        <v>193</v>
      </c>
      <c r="E16" s="133" t="s">
        <v>112</v>
      </c>
      <c r="F16" s="10"/>
      <c r="G16" s="725"/>
      <c r="H16" s="726"/>
      <c r="I16" s="726"/>
      <c r="J16" s="727"/>
    </row>
    <row r="17" spans="1:10" s="2" customFormat="1" ht="15" customHeight="1" thickBot="1" x14ac:dyDescent="0.3">
      <c r="A17" s="93">
        <f>A16+1</f>
        <v>2</v>
      </c>
      <c r="B17" s="124" t="s">
        <v>196</v>
      </c>
      <c r="C17" s="125"/>
      <c r="D17" s="126" t="s">
        <v>193</v>
      </c>
      <c r="E17" s="127" t="s">
        <v>112</v>
      </c>
      <c r="F17" s="288"/>
      <c r="G17" s="501" t="s">
        <v>298</v>
      </c>
      <c r="H17" s="502" t="s">
        <v>299</v>
      </c>
      <c r="I17" s="503" t="s">
        <v>300</v>
      </c>
      <c r="J17" s="504" t="s">
        <v>301</v>
      </c>
    </row>
    <row r="18" spans="1:10" s="2" customFormat="1" ht="15" customHeight="1" x14ac:dyDescent="0.25">
      <c r="A18" s="93">
        <f t="shared" ref="A18:A30" si="0">A17+1</f>
        <v>3</v>
      </c>
      <c r="B18" s="134" t="s">
        <v>447</v>
      </c>
      <c r="C18" s="131"/>
      <c r="D18" s="132" t="s">
        <v>105</v>
      </c>
      <c r="E18" s="123" t="s">
        <v>111</v>
      </c>
      <c r="F18" s="10"/>
      <c r="G18" s="511"/>
      <c r="H18" s="512"/>
      <c r="I18" s="512"/>
      <c r="J18" s="513"/>
    </row>
    <row r="19" spans="1:10" ht="15" customHeight="1" x14ac:dyDescent="0.25">
      <c r="A19" s="93">
        <f t="shared" si="0"/>
        <v>4</v>
      </c>
      <c r="B19" s="124" t="s">
        <v>200</v>
      </c>
      <c r="C19" s="137"/>
      <c r="D19" s="603" t="s">
        <v>67</v>
      </c>
      <c r="E19" s="127" t="s">
        <v>112</v>
      </c>
      <c r="G19" s="511"/>
      <c r="H19" s="512"/>
      <c r="I19" s="512"/>
      <c r="J19" s="513"/>
    </row>
    <row r="20" spans="1:10" s="2" customFormat="1" ht="15" customHeight="1" x14ac:dyDescent="0.25">
      <c r="A20" s="93">
        <f t="shared" si="0"/>
        <v>5</v>
      </c>
      <c r="B20" s="120" t="s">
        <v>201</v>
      </c>
      <c r="C20" s="141"/>
      <c r="D20" s="131" t="s">
        <v>67</v>
      </c>
      <c r="E20" s="123"/>
      <c r="F20" s="10"/>
      <c r="G20" s="511"/>
      <c r="H20" s="512"/>
      <c r="I20" s="512"/>
      <c r="J20" s="513"/>
    </row>
    <row r="21" spans="1:10" s="2" customFormat="1" ht="15" customHeight="1" x14ac:dyDescent="0.25">
      <c r="A21" s="93">
        <f t="shared" si="0"/>
        <v>6</v>
      </c>
      <c r="B21" s="124" t="s">
        <v>296</v>
      </c>
      <c r="C21" s="125"/>
      <c r="D21" s="603" t="s">
        <v>193</v>
      </c>
      <c r="E21" s="127"/>
      <c r="F21" s="288" t="s">
        <v>358</v>
      </c>
      <c r="G21" s="505" t="s">
        <v>303</v>
      </c>
      <c r="H21" s="506" t="s">
        <v>313</v>
      </c>
      <c r="I21" s="506" t="s">
        <v>314</v>
      </c>
      <c r="J21" s="507" t="s">
        <v>313</v>
      </c>
    </row>
    <row r="22" spans="1:10" s="2" customFormat="1" ht="15" customHeight="1" x14ac:dyDescent="0.25">
      <c r="A22" s="93">
        <f t="shared" si="0"/>
        <v>7</v>
      </c>
      <c r="B22" s="120" t="s">
        <v>441</v>
      </c>
      <c r="C22" s="141"/>
      <c r="D22" s="122"/>
      <c r="E22" s="123" t="s">
        <v>111</v>
      </c>
      <c r="F22" s="10"/>
      <c r="G22" s="511"/>
      <c r="H22" s="512"/>
      <c r="I22" s="512"/>
      <c r="J22" s="513"/>
    </row>
    <row r="23" spans="1:10" s="2" customFormat="1" ht="15" customHeight="1" x14ac:dyDescent="0.25">
      <c r="A23" s="93">
        <f t="shared" si="0"/>
        <v>8</v>
      </c>
      <c r="B23" s="493" t="s">
        <v>388</v>
      </c>
      <c r="C23" s="135"/>
      <c r="D23" s="136"/>
      <c r="E23" s="127"/>
      <c r="F23" s="10"/>
      <c r="G23" s="511"/>
      <c r="H23" s="512"/>
      <c r="I23" s="512"/>
      <c r="J23" s="513"/>
    </row>
    <row r="24" spans="1:10" ht="15" customHeight="1" x14ac:dyDescent="0.25">
      <c r="A24" s="93">
        <f t="shared" si="0"/>
        <v>9</v>
      </c>
      <c r="B24" s="262" t="s">
        <v>203</v>
      </c>
      <c r="C24" s="143"/>
      <c r="D24" s="121" t="s">
        <v>78</v>
      </c>
      <c r="E24" s="123" t="s">
        <v>111</v>
      </c>
      <c r="G24" s="511"/>
      <c r="H24" s="512"/>
      <c r="I24" s="512"/>
      <c r="J24" s="513"/>
    </row>
    <row r="25" spans="1:10" s="2" customFormat="1" ht="15" customHeight="1" x14ac:dyDescent="0.25">
      <c r="A25" s="93">
        <f t="shared" si="0"/>
        <v>10</v>
      </c>
      <c r="B25" s="140" t="s">
        <v>309</v>
      </c>
      <c r="C25" s="139"/>
      <c r="D25" s="125" t="s">
        <v>121</v>
      </c>
      <c r="E25" s="127"/>
      <c r="F25" s="10"/>
      <c r="G25" s="511"/>
      <c r="H25" s="512"/>
      <c r="I25" s="512"/>
      <c r="J25" s="513"/>
    </row>
    <row r="26" spans="1:10" ht="15" customHeight="1" x14ac:dyDescent="0.25">
      <c r="A26" s="93">
        <f t="shared" si="0"/>
        <v>11</v>
      </c>
      <c r="B26" s="142" t="s">
        <v>122</v>
      </c>
      <c r="C26" s="121"/>
      <c r="D26" s="122" t="s">
        <v>193</v>
      </c>
      <c r="E26" s="123" t="s">
        <v>113</v>
      </c>
      <c r="G26" s="511"/>
      <c r="H26" s="512"/>
      <c r="I26" s="512"/>
      <c r="J26" s="513"/>
    </row>
    <row r="27" spans="1:10" s="2" customFormat="1" ht="15" customHeight="1" x14ac:dyDescent="0.25">
      <c r="A27" s="93">
        <f t="shared" si="0"/>
        <v>12</v>
      </c>
      <c r="B27" s="138" t="s">
        <v>433</v>
      </c>
      <c r="C27" s="139"/>
      <c r="D27" s="125" t="s">
        <v>86</v>
      </c>
      <c r="E27" s="127" t="s">
        <v>114</v>
      </c>
      <c r="F27" s="10"/>
      <c r="G27" s="511"/>
      <c r="H27" s="512"/>
      <c r="I27" s="512"/>
      <c r="J27" s="513"/>
    </row>
    <row r="28" spans="1:10" s="2" customFormat="1" ht="15" customHeight="1" x14ac:dyDescent="0.25">
      <c r="A28" s="93">
        <f t="shared" si="0"/>
        <v>13</v>
      </c>
      <c r="B28" s="142" t="s">
        <v>205</v>
      </c>
      <c r="C28" s="121"/>
      <c r="D28" s="122" t="s">
        <v>193</v>
      </c>
      <c r="E28" s="123" t="s">
        <v>111</v>
      </c>
      <c r="F28" s="288" t="s">
        <v>358</v>
      </c>
      <c r="G28" s="505" t="s">
        <v>304</v>
      </c>
      <c r="H28" s="506" t="s">
        <v>313</v>
      </c>
      <c r="I28" s="506" t="s">
        <v>314</v>
      </c>
      <c r="J28" s="507" t="s">
        <v>313</v>
      </c>
    </row>
    <row r="29" spans="1:10" ht="15" customHeight="1" x14ac:dyDescent="0.25">
      <c r="A29" s="93">
        <f t="shared" si="0"/>
        <v>14</v>
      </c>
      <c r="B29" s="140" t="s">
        <v>405</v>
      </c>
      <c r="C29" s="125"/>
      <c r="D29" s="126" t="s">
        <v>193</v>
      </c>
      <c r="E29" s="127" t="s">
        <v>111</v>
      </c>
      <c r="G29" s="517" t="s">
        <v>406</v>
      </c>
      <c r="H29" s="518" t="s">
        <v>313</v>
      </c>
      <c r="I29" s="518" t="s">
        <v>314</v>
      </c>
      <c r="J29" s="519" t="s">
        <v>313</v>
      </c>
    </row>
    <row r="30" spans="1:10" ht="15" customHeight="1" thickBot="1" x14ac:dyDescent="0.3">
      <c r="A30" s="93">
        <f t="shared" si="0"/>
        <v>15</v>
      </c>
      <c r="B30" s="539" t="s">
        <v>206</v>
      </c>
      <c r="C30" s="540"/>
      <c r="D30" s="540" t="s">
        <v>120</v>
      </c>
      <c r="E30" s="123" t="s">
        <v>111</v>
      </c>
      <c r="G30" s="511"/>
      <c r="H30" s="512"/>
      <c r="I30" s="512"/>
      <c r="J30" s="513"/>
    </row>
    <row r="31" spans="1:10" ht="30" customHeight="1" thickTop="1" thickBot="1" x14ac:dyDescent="0.55000000000000004">
      <c r="A31" s="93"/>
      <c r="B31" s="731" t="s">
        <v>76</v>
      </c>
      <c r="C31" s="732"/>
      <c r="D31" s="732"/>
      <c r="E31" s="733"/>
      <c r="G31" s="511"/>
      <c r="H31" s="512"/>
      <c r="I31" s="512"/>
      <c r="J31" s="513"/>
    </row>
    <row r="32" spans="1:10" s="2" customFormat="1" ht="15" customHeight="1" thickTop="1" thickBot="1" x14ac:dyDescent="0.3">
      <c r="A32" s="93"/>
      <c r="B32" s="144" t="s">
        <v>22</v>
      </c>
      <c r="C32" s="145" t="s">
        <v>0</v>
      </c>
      <c r="D32" s="145" t="s">
        <v>1</v>
      </c>
      <c r="E32" s="146" t="s">
        <v>80</v>
      </c>
      <c r="F32" s="10"/>
      <c r="G32" s="511"/>
      <c r="H32" s="512"/>
      <c r="I32" s="512"/>
      <c r="J32" s="513"/>
    </row>
    <row r="33" spans="1:10" s="2" customFormat="1" ht="15" customHeight="1" x14ac:dyDescent="0.25">
      <c r="A33" s="93">
        <v>1</v>
      </c>
      <c r="B33" s="147" t="s">
        <v>103</v>
      </c>
      <c r="C33" s="286"/>
      <c r="D33" s="148" t="s">
        <v>193</v>
      </c>
      <c r="E33" s="149" t="s">
        <v>112</v>
      </c>
      <c r="F33" s="10"/>
      <c r="G33" s="511"/>
      <c r="H33" s="512"/>
      <c r="I33" s="512"/>
      <c r="J33" s="513"/>
    </row>
    <row r="34" spans="1:10" s="2" customFormat="1" ht="15" customHeight="1" x14ac:dyDescent="0.25">
      <c r="A34" s="93">
        <f>A33+1</f>
        <v>2</v>
      </c>
      <c r="B34" s="150" t="s">
        <v>445</v>
      </c>
      <c r="C34" s="547"/>
      <c r="D34" s="601" t="s">
        <v>193</v>
      </c>
      <c r="E34" s="149"/>
      <c r="F34" s="10"/>
      <c r="G34" s="511"/>
      <c r="H34" s="512"/>
      <c r="I34" s="512"/>
      <c r="J34" s="513"/>
    </row>
    <row r="35" spans="1:10" s="2" customFormat="1" ht="15" customHeight="1" x14ac:dyDescent="0.25">
      <c r="A35" s="93">
        <f t="shared" ref="A35:A38" si="1">A34+1</f>
        <v>3</v>
      </c>
      <c r="B35" s="602" t="s">
        <v>448</v>
      </c>
      <c r="C35" s="152"/>
      <c r="D35" s="153" t="s">
        <v>105</v>
      </c>
      <c r="E35" s="149"/>
      <c r="F35" s="10"/>
      <c r="G35" s="511"/>
      <c r="H35" s="512"/>
      <c r="I35" s="512"/>
      <c r="J35" s="513"/>
    </row>
    <row r="36" spans="1:10" s="2" customFormat="1" ht="15" customHeight="1" x14ac:dyDescent="0.25">
      <c r="A36" s="93">
        <f t="shared" si="1"/>
        <v>4</v>
      </c>
      <c r="B36" s="154" t="s">
        <v>470</v>
      </c>
      <c r="C36" s="287"/>
      <c r="D36" s="156" t="s">
        <v>193</v>
      </c>
      <c r="E36" s="157" t="s">
        <v>111</v>
      </c>
      <c r="F36" s="10"/>
      <c r="G36" s="511"/>
      <c r="H36" s="512"/>
      <c r="I36" s="512"/>
      <c r="J36" s="513"/>
    </row>
    <row r="37" spans="1:10" s="2" customFormat="1" ht="15" customHeight="1" x14ac:dyDescent="0.25">
      <c r="A37" s="93">
        <f t="shared" si="1"/>
        <v>5</v>
      </c>
      <c r="B37" s="150" t="s">
        <v>102</v>
      </c>
      <c r="C37" s="286"/>
      <c r="D37" s="151" t="s">
        <v>193</v>
      </c>
      <c r="E37" s="149" t="s">
        <v>113</v>
      </c>
      <c r="F37" s="10"/>
      <c r="G37" s="511"/>
      <c r="H37" s="512"/>
      <c r="I37" s="512"/>
      <c r="J37" s="513"/>
    </row>
    <row r="38" spans="1:10" s="2" customFormat="1" ht="15" customHeight="1" x14ac:dyDescent="0.25">
      <c r="A38" s="93">
        <f t="shared" si="1"/>
        <v>6</v>
      </c>
      <c r="B38" s="492" t="s">
        <v>204</v>
      </c>
      <c r="C38" s="155"/>
      <c r="D38" s="490" t="s">
        <v>83</v>
      </c>
      <c r="E38" s="157" t="s">
        <v>114</v>
      </c>
      <c r="F38" s="10"/>
      <c r="G38" s="511"/>
      <c r="H38" s="512"/>
      <c r="I38" s="512"/>
      <c r="J38" s="513"/>
    </row>
    <row r="39" spans="1:10" s="2" customFormat="1" x14ac:dyDescent="0.25">
      <c r="A39" s="718">
        <f>A38+1</f>
        <v>7</v>
      </c>
      <c r="B39" s="741" t="s">
        <v>387</v>
      </c>
      <c r="C39" s="743"/>
      <c r="D39" s="743" t="s">
        <v>193</v>
      </c>
      <c r="E39" s="745"/>
      <c r="F39" s="740" t="s">
        <v>358</v>
      </c>
      <c r="G39" s="508" t="s">
        <v>359</v>
      </c>
      <c r="H39" s="509" t="s">
        <v>313</v>
      </c>
      <c r="I39" s="509" t="s">
        <v>314</v>
      </c>
      <c r="J39" s="510" t="s">
        <v>313</v>
      </c>
    </row>
    <row r="40" spans="1:10" s="2" customFormat="1" x14ac:dyDescent="0.25">
      <c r="A40" s="718"/>
      <c r="B40" s="742"/>
      <c r="C40" s="744"/>
      <c r="D40" s="744"/>
      <c r="E40" s="746"/>
      <c r="F40" s="740"/>
      <c r="G40" s="508" t="s">
        <v>360</v>
      </c>
      <c r="H40" s="509" t="s">
        <v>313</v>
      </c>
      <c r="I40" s="509" t="s">
        <v>314</v>
      </c>
      <c r="J40" s="510" t="s">
        <v>313</v>
      </c>
    </row>
    <row r="41" spans="1:10" s="2" customFormat="1" ht="15" customHeight="1" x14ac:dyDescent="0.25">
      <c r="A41" s="93">
        <f>A39+1</f>
        <v>8</v>
      </c>
      <c r="B41" s="154" t="s">
        <v>410</v>
      </c>
      <c r="C41" s="155"/>
      <c r="D41" s="158" t="s">
        <v>85</v>
      </c>
      <c r="E41" s="157" t="s">
        <v>111</v>
      </c>
      <c r="F41" s="10"/>
      <c r="G41" s="511"/>
      <c r="H41" s="512"/>
      <c r="I41" s="512"/>
      <c r="J41" s="513"/>
    </row>
    <row r="42" spans="1:10" ht="15" customHeight="1" x14ac:dyDescent="0.25">
      <c r="A42" s="93">
        <f t="shared" ref="A42:A47" si="2">A41+1</f>
        <v>9</v>
      </c>
      <c r="B42" s="147" t="s">
        <v>77</v>
      </c>
      <c r="C42" s="152"/>
      <c r="D42" s="153" t="s">
        <v>78</v>
      </c>
      <c r="E42" s="149" t="s">
        <v>111</v>
      </c>
      <c r="G42" s="511"/>
      <c r="H42" s="512"/>
      <c r="I42" s="512"/>
      <c r="J42" s="513"/>
    </row>
    <row r="43" spans="1:10" ht="15" customHeight="1" x14ac:dyDescent="0.25">
      <c r="A43" s="93">
        <f t="shared" si="2"/>
        <v>10</v>
      </c>
      <c r="B43" s="159" t="s">
        <v>162</v>
      </c>
      <c r="C43" s="160"/>
      <c r="D43" s="161" t="s">
        <v>121</v>
      </c>
      <c r="E43" s="157" t="s">
        <v>111</v>
      </c>
      <c r="G43" s="511"/>
      <c r="H43" s="512"/>
      <c r="I43" s="512"/>
      <c r="J43" s="513"/>
    </row>
    <row r="44" spans="1:10" s="2" customFormat="1" ht="15" customHeight="1" x14ac:dyDescent="0.25">
      <c r="A44" s="93">
        <f t="shared" si="2"/>
        <v>11</v>
      </c>
      <c r="B44" s="147" t="s">
        <v>163</v>
      </c>
      <c r="C44" s="152"/>
      <c r="D44" s="153" t="s">
        <v>121</v>
      </c>
      <c r="E44" s="149" t="s">
        <v>111</v>
      </c>
      <c r="F44" s="10"/>
      <c r="G44" s="511"/>
      <c r="H44" s="512"/>
      <c r="I44" s="512"/>
      <c r="J44" s="513"/>
    </row>
    <row r="45" spans="1:10" ht="15" customHeight="1" x14ac:dyDescent="0.25">
      <c r="A45" s="93">
        <f t="shared" si="2"/>
        <v>12</v>
      </c>
      <c r="B45" s="159" t="s">
        <v>79</v>
      </c>
      <c r="C45" s="336"/>
      <c r="D45" s="161" t="s">
        <v>193</v>
      </c>
      <c r="E45" s="157" t="s">
        <v>111</v>
      </c>
      <c r="G45" s="511"/>
      <c r="H45" s="512"/>
      <c r="I45" s="512"/>
      <c r="J45" s="513"/>
    </row>
    <row r="46" spans="1:10" s="2" customFormat="1" ht="15" customHeight="1" x14ac:dyDescent="0.25">
      <c r="A46" s="93">
        <f t="shared" si="2"/>
        <v>13</v>
      </c>
      <c r="B46" s="541" t="s">
        <v>471</v>
      </c>
      <c r="C46" s="152"/>
      <c r="D46" s="153"/>
      <c r="E46" s="149"/>
      <c r="F46" s="10"/>
      <c r="G46" s="511"/>
      <c r="H46" s="512"/>
      <c r="I46" s="512"/>
      <c r="J46" s="513"/>
    </row>
    <row r="47" spans="1:10" ht="15" customHeight="1" thickBot="1" x14ac:dyDescent="0.3">
      <c r="A47" s="93">
        <f t="shared" si="2"/>
        <v>14</v>
      </c>
      <c r="B47" s="542" t="s">
        <v>411</v>
      </c>
      <c r="C47" s="160"/>
      <c r="D47" s="161" t="s">
        <v>83</v>
      </c>
      <c r="E47" s="157" t="s">
        <v>115</v>
      </c>
      <c r="G47" s="511"/>
      <c r="H47" s="512"/>
      <c r="I47" s="512"/>
      <c r="J47" s="513"/>
    </row>
    <row r="48" spans="1:10" ht="30" customHeight="1" thickTop="1" thickBot="1" x14ac:dyDescent="0.55000000000000004">
      <c r="A48" s="93"/>
      <c r="B48" s="734" t="s">
        <v>408</v>
      </c>
      <c r="C48" s="735"/>
      <c r="D48" s="735"/>
      <c r="E48" s="736"/>
      <c r="G48" s="511"/>
      <c r="H48" s="512"/>
      <c r="I48" s="512"/>
      <c r="J48" s="513"/>
    </row>
    <row r="49" spans="1:13" s="2" customFormat="1" ht="15" customHeight="1" thickTop="1" thickBot="1" x14ac:dyDescent="0.3">
      <c r="A49" s="93"/>
      <c r="B49" s="165" t="s">
        <v>22</v>
      </c>
      <c r="C49" s="166" t="s">
        <v>0</v>
      </c>
      <c r="D49" s="166" t="s">
        <v>1</v>
      </c>
      <c r="E49" s="167" t="s">
        <v>80</v>
      </c>
      <c r="F49" s="10"/>
      <c r="G49" s="511"/>
      <c r="H49" s="512"/>
      <c r="I49" s="512"/>
      <c r="J49" s="513"/>
    </row>
    <row r="50" spans="1:13" s="2" customFormat="1" ht="15" customHeight="1" x14ac:dyDescent="0.25">
      <c r="A50" s="93">
        <v>1</v>
      </c>
      <c r="B50" s="168" t="s">
        <v>117</v>
      </c>
      <c r="C50" s="486"/>
      <c r="D50" s="170" t="s">
        <v>193</v>
      </c>
      <c r="E50" s="119" t="s">
        <v>112</v>
      </c>
      <c r="F50" s="10"/>
      <c r="G50" s="511"/>
      <c r="H50" s="512"/>
      <c r="I50" s="512"/>
      <c r="J50" s="513"/>
    </row>
    <row r="51" spans="1:13" s="2" customFormat="1" ht="15" customHeight="1" x14ac:dyDescent="0.25">
      <c r="A51" s="93">
        <f>A50+1</f>
        <v>2</v>
      </c>
      <c r="B51" s="172" t="s">
        <v>104</v>
      </c>
      <c r="C51" s="487"/>
      <c r="D51" s="174" t="s">
        <v>193</v>
      </c>
      <c r="E51" s="175" t="s">
        <v>112</v>
      </c>
      <c r="F51" s="10"/>
      <c r="G51" s="511"/>
      <c r="H51" s="512"/>
      <c r="I51" s="512"/>
      <c r="J51" s="513"/>
    </row>
    <row r="52" spans="1:13" s="2" customFormat="1" ht="15" customHeight="1" x14ac:dyDescent="0.25">
      <c r="A52" s="93">
        <f t="shared" ref="A52:A59" si="3">A51+1</f>
        <v>3</v>
      </c>
      <c r="B52" s="474" t="s">
        <v>449</v>
      </c>
      <c r="C52" s="169"/>
      <c r="D52" s="170" t="s">
        <v>105</v>
      </c>
      <c r="E52" s="119" t="s">
        <v>111</v>
      </c>
      <c r="F52" s="10"/>
      <c r="G52" s="511"/>
      <c r="H52" s="512"/>
      <c r="I52" s="512"/>
      <c r="J52" s="513"/>
    </row>
    <row r="53" spans="1:13" s="2" customFormat="1" ht="15" customHeight="1" x14ac:dyDescent="0.25">
      <c r="A53" s="93">
        <f t="shared" si="3"/>
        <v>4</v>
      </c>
      <c r="B53" s="475" t="s">
        <v>440</v>
      </c>
      <c r="C53" s="173"/>
      <c r="D53" s="174"/>
      <c r="E53" s="175"/>
      <c r="F53" s="10"/>
      <c r="G53" s="511"/>
      <c r="H53" s="512"/>
      <c r="I53" s="512"/>
      <c r="J53" s="513"/>
    </row>
    <row r="54" spans="1:13" s="2" customFormat="1" ht="15" customHeight="1" x14ac:dyDescent="0.25">
      <c r="A54" s="93">
        <f t="shared" si="3"/>
        <v>5</v>
      </c>
      <c r="B54" s="481" t="s">
        <v>200</v>
      </c>
      <c r="C54" s="482"/>
      <c r="D54" s="486" t="s">
        <v>67</v>
      </c>
      <c r="E54" s="119" t="s">
        <v>112</v>
      </c>
      <c r="F54" s="10"/>
      <c r="G54" s="511"/>
      <c r="H54" s="512"/>
      <c r="I54" s="512"/>
      <c r="J54" s="513"/>
    </row>
    <row r="55" spans="1:13" s="2" customFormat="1" ht="15" customHeight="1" x14ac:dyDescent="0.25">
      <c r="A55" s="93">
        <f t="shared" si="3"/>
        <v>6</v>
      </c>
      <c r="B55" s="476" t="s">
        <v>201</v>
      </c>
      <c r="C55" s="477"/>
      <c r="D55" s="487" t="s">
        <v>67</v>
      </c>
      <c r="E55" s="175"/>
      <c r="F55" s="10"/>
      <c r="G55" s="511"/>
      <c r="H55" s="512"/>
      <c r="I55" s="512"/>
      <c r="J55" s="513"/>
    </row>
    <row r="56" spans="1:13" s="2" customFormat="1" ht="15" customHeight="1" x14ac:dyDescent="0.25">
      <c r="A56" s="93">
        <f t="shared" si="3"/>
        <v>7</v>
      </c>
      <c r="B56" s="481" t="s">
        <v>296</v>
      </c>
      <c r="C56" s="483"/>
      <c r="D56" s="486" t="s">
        <v>193</v>
      </c>
      <c r="E56" s="119"/>
      <c r="F56" s="288" t="s">
        <v>358</v>
      </c>
      <c r="G56" s="520" t="s">
        <v>303</v>
      </c>
      <c r="H56" s="521" t="s">
        <v>313</v>
      </c>
      <c r="I56" s="521" t="s">
        <v>314</v>
      </c>
      <c r="J56" s="522" t="s">
        <v>313</v>
      </c>
    </row>
    <row r="57" spans="1:13" s="2" customFormat="1" ht="15" customHeight="1" x14ac:dyDescent="0.25">
      <c r="A57" s="93">
        <f t="shared" si="3"/>
        <v>8</v>
      </c>
      <c r="B57" s="478" t="s">
        <v>309</v>
      </c>
      <c r="C57" s="479"/>
      <c r="D57" s="480" t="s">
        <v>121</v>
      </c>
      <c r="E57" s="175"/>
      <c r="F57" s="10"/>
      <c r="G57" s="511"/>
      <c r="H57" s="512"/>
      <c r="I57" s="512"/>
      <c r="J57" s="513"/>
    </row>
    <row r="58" spans="1:13" s="2" customFormat="1" ht="15" customHeight="1" x14ac:dyDescent="0.25">
      <c r="A58" s="93">
        <f t="shared" si="3"/>
        <v>9</v>
      </c>
      <c r="B58" s="484" t="s">
        <v>122</v>
      </c>
      <c r="C58" s="483"/>
      <c r="D58" s="485" t="s">
        <v>193</v>
      </c>
      <c r="E58" s="119" t="s">
        <v>113</v>
      </c>
      <c r="F58" s="10"/>
      <c r="G58" s="511"/>
      <c r="H58" s="512"/>
      <c r="I58" s="512"/>
      <c r="J58" s="513"/>
    </row>
    <row r="59" spans="1:13" s="2" customFormat="1" ht="15" customHeight="1" thickBot="1" x14ac:dyDescent="0.3">
      <c r="A59" s="93">
        <f t="shared" si="3"/>
        <v>10</v>
      </c>
      <c r="B59" s="529" t="s">
        <v>204</v>
      </c>
      <c r="C59" s="530"/>
      <c r="D59" s="531" t="s">
        <v>86</v>
      </c>
      <c r="E59" s="532" t="s">
        <v>114</v>
      </c>
      <c r="F59" s="10"/>
      <c r="G59" s="514"/>
      <c r="H59" s="515"/>
      <c r="I59" s="515"/>
      <c r="J59" s="516"/>
    </row>
    <row r="60" spans="1:13" s="2" customFormat="1" ht="30" customHeight="1" thickTop="1" x14ac:dyDescent="0.5">
      <c r="A60" s="93"/>
      <c r="B60" s="719"/>
      <c r="C60" s="719"/>
      <c r="D60" s="719"/>
      <c r="E60" s="719"/>
      <c r="F60" s="93"/>
      <c r="G60" s="93"/>
      <c r="H60" s="93"/>
      <c r="I60" s="93"/>
      <c r="J60" s="93"/>
      <c r="K60" s="9"/>
    </row>
    <row r="61" spans="1:13" s="2" customFormat="1" ht="21.95" customHeight="1" x14ac:dyDescent="0.25">
      <c r="A61" s="93"/>
      <c r="B61" s="686"/>
      <c r="C61" s="686"/>
      <c r="D61" s="686"/>
      <c r="E61" s="687"/>
      <c r="F61" s="93"/>
      <c r="G61" s="93"/>
      <c r="H61" s="93"/>
      <c r="I61" s="93"/>
      <c r="J61" s="93"/>
      <c r="K61" s="9"/>
    </row>
    <row r="62" spans="1:13" s="2" customFormat="1" ht="15" customHeight="1" x14ac:dyDescent="0.3">
      <c r="A62" s="93"/>
      <c r="B62" s="688"/>
      <c r="C62" s="10"/>
      <c r="D62" s="689"/>
      <c r="E62" s="690"/>
      <c r="F62" s="10"/>
      <c r="G62" s="93"/>
      <c r="H62" s="93"/>
      <c r="I62" s="545" t="s">
        <v>438</v>
      </c>
      <c r="J62" s="93"/>
      <c r="K62" s="9"/>
    </row>
    <row r="63" spans="1:13" s="2" customFormat="1" ht="15" customHeight="1" x14ac:dyDescent="0.25">
      <c r="A63" s="93"/>
      <c r="B63" s="691"/>
      <c r="C63" s="10"/>
      <c r="D63" s="689"/>
      <c r="E63" s="690"/>
      <c r="F63" s="10"/>
      <c r="G63" s="711" t="s">
        <v>371</v>
      </c>
      <c r="I63" s="711" t="s">
        <v>372</v>
      </c>
      <c r="K63" s="711" t="s">
        <v>371</v>
      </c>
      <c r="M63" s="711" t="s">
        <v>372</v>
      </c>
    </row>
    <row r="64" spans="1:13" s="2" customFormat="1" ht="15" customHeight="1" thickBot="1" x14ac:dyDescent="0.3">
      <c r="A64" s="93"/>
      <c r="B64" s="688"/>
      <c r="C64" s="10"/>
      <c r="D64" s="689"/>
      <c r="E64" s="690"/>
      <c r="F64" s="10"/>
      <c r="G64" s="711"/>
      <c r="I64" s="711"/>
      <c r="K64" s="711"/>
      <c r="M64" s="711"/>
    </row>
    <row r="65" spans="1:15" s="2" customFormat="1" ht="15" customHeight="1" thickBot="1" x14ac:dyDescent="0.3">
      <c r="A65" s="93"/>
      <c r="B65" s="692"/>
      <c r="C65" s="10"/>
      <c r="D65" s="689"/>
      <c r="E65" s="690"/>
      <c r="F65" s="10"/>
      <c r="G65" s="89" t="s">
        <v>239</v>
      </c>
      <c r="I65" s="304">
        <v>68</v>
      </c>
      <c r="J65" s="303" t="b">
        <v>0</v>
      </c>
      <c r="K65" s="89" t="s">
        <v>236</v>
      </c>
      <c r="M65" s="304">
        <v>32</v>
      </c>
      <c r="N65" s="303" t="b">
        <v>0</v>
      </c>
    </row>
    <row r="66" spans="1:15" s="2" customFormat="1" ht="20.100000000000001" customHeight="1" thickBot="1" x14ac:dyDescent="0.3">
      <c r="A66" s="93"/>
      <c r="B66" s="525"/>
      <c r="C66" s="526"/>
      <c r="D66" s="527"/>
      <c r="E66" s="528"/>
      <c r="F66" s="10"/>
      <c r="G66" s="85" t="s">
        <v>240</v>
      </c>
      <c r="I66" s="304">
        <v>55</v>
      </c>
      <c r="J66" s="303" t="b">
        <v>0</v>
      </c>
      <c r="K66" s="85" t="s">
        <v>237</v>
      </c>
      <c r="M66" s="304">
        <v>39</v>
      </c>
      <c r="N66" s="303" t="b">
        <v>0</v>
      </c>
    </row>
    <row r="67" spans="1:15" s="2" customFormat="1" ht="20.100000000000001" customHeight="1" thickBot="1" x14ac:dyDescent="0.3">
      <c r="A67" s="93"/>
      <c r="B67" s="525"/>
      <c r="C67" s="526"/>
      <c r="D67" s="527"/>
      <c r="E67" s="528"/>
      <c r="F67" s="10"/>
      <c r="G67" s="90" t="s">
        <v>241</v>
      </c>
      <c r="I67" s="304">
        <v>155</v>
      </c>
      <c r="J67" s="303" t="b">
        <v>0</v>
      </c>
      <c r="K67" s="85" t="s">
        <v>374</v>
      </c>
      <c r="M67" s="304">
        <v>33</v>
      </c>
      <c r="N67" s="303" t="b">
        <v>0</v>
      </c>
    </row>
    <row r="68" spans="1:15" s="2" customFormat="1" ht="20.100000000000001" customHeight="1" thickBot="1" x14ac:dyDescent="0.3">
      <c r="A68" s="93"/>
      <c r="B68" s="525"/>
      <c r="C68" s="526"/>
      <c r="D68" s="527"/>
      <c r="E68" s="528"/>
      <c r="F68" s="10"/>
      <c r="G68" s="85" t="s">
        <v>242</v>
      </c>
      <c r="I68" s="304">
        <v>87</v>
      </c>
      <c r="J68" s="303" t="b">
        <v>0</v>
      </c>
      <c r="K68" s="85" t="s">
        <v>260</v>
      </c>
      <c r="M68" s="304">
        <v>150</v>
      </c>
      <c r="N68" s="303" t="b">
        <v>0</v>
      </c>
    </row>
    <row r="69" spans="1:15" s="2" customFormat="1" ht="20.100000000000001" customHeight="1" thickBot="1" x14ac:dyDescent="0.3">
      <c r="A69" s="93"/>
      <c r="B69" s="525"/>
      <c r="C69" s="526"/>
      <c r="D69" s="527"/>
      <c r="E69" s="528"/>
      <c r="F69" s="10"/>
      <c r="G69" s="85" t="s">
        <v>247</v>
      </c>
      <c r="I69" s="304">
        <v>46</v>
      </c>
      <c r="J69" s="303" t="b">
        <v>0</v>
      </c>
      <c r="K69" s="85" t="s">
        <v>129</v>
      </c>
      <c r="M69" s="304">
        <v>16</v>
      </c>
      <c r="N69" s="303" t="b">
        <v>0</v>
      </c>
    </row>
    <row r="70" spans="1:15" s="2" customFormat="1" ht="20.100000000000001" customHeight="1" thickBot="1" x14ac:dyDescent="0.3">
      <c r="A70" s="93"/>
      <c r="B70" s="525"/>
      <c r="C70" s="526"/>
      <c r="D70" s="527"/>
      <c r="E70" s="528"/>
      <c r="F70" s="10"/>
      <c r="G70" s="85" t="s">
        <v>248</v>
      </c>
      <c r="H70"/>
      <c r="I70" s="304">
        <v>51</v>
      </c>
      <c r="J70" s="303" t="b">
        <v>0</v>
      </c>
      <c r="K70" s="85" t="s">
        <v>134</v>
      </c>
      <c r="L70"/>
      <c r="M70" s="304">
        <v>13</v>
      </c>
      <c r="N70" s="303" t="b">
        <v>0</v>
      </c>
    </row>
    <row r="71" spans="1:15" s="2" customFormat="1" ht="20.100000000000001" customHeight="1" thickBot="1" x14ac:dyDescent="0.3">
      <c r="A71" s="93"/>
      <c r="B71" s="525"/>
      <c r="C71" s="526"/>
      <c r="D71" s="527"/>
      <c r="E71" s="528"/>
      <c r="F71" s="10"/>
      <c r="G71" s="85" t="s">
        <v>249</v>
      </c>
      <c r="I71" s="304">
        <v>80</v>
      </c>
      <c r="J71" s="303" t="b">
        <v>0</v>
      </c>
      <c r="K71" s="85" t="s">
        <v>261</v>
      </c>
      <c r="M71" s="304">
        <v>17</v>
      </c>
      <c r="N71" s="303" t="b">
        <v>0</v>
      </c>
    </row>
    <row r="72" spans="1:15" s="2" customFormat="1" ht="15.75" thickBot="1" x14ac:dyDescent="0.3">
      <c r="A72" s="93"/>
      <c r="B72" s="533"/>
      <c r="C72" s="534"/>
      <c r="D72" s="535"/>
      <c r="E72" s="536"/>
      <c r="F72" s="10"/>
      <c r="G72" s="85" t="s">
        <v>373</v>
      </c>
      <c r="I72" s="304">
        <v>132</v>
      </c>
      <c r="J72" s="303" t="b">
        <v>0</v>
      </c>
      <c r="K72" s="85" t="s">
        <v>235</v>
      </c>
      <c r="M72" s="304">
        <v>23</v>
      </c>
      <c r="N72" s="303" t="b">
        <v>0</v>
      </c>
    </row>
    <row r="73" spans="1:15" s="2" customFormat="1" ht="33" thickTop="1" thickBot="1" x14ac:dyDescent="0.55000000000000004">
      <c r="A73" s="93"/>
      <c r="B73" s="737" t="s">
        <v>409</v>
      </c>
      <c r="C73" s="738"/>
      <c r="D73" s="738"/>
      <c r="E73" s="739"/>
      <c r="F73" s="10"/>
      <c r="G73" s="85" t="s">
        <v>250</v>
      </c>
      <c r="H73"/>
      <c r="I73" s="304">
        <v>42</v>
      </c>
      <c r="J73" s="303" t="b">
        <v>0</v>
      </c>
      <c r="K73" s="85" t="s">
        <v>262</v>
      </c>
      <c r="L73"/>
      <c r="M73" s="304">
        <v>30</v>
      </c>
      <c r="N73" s="303" t="b">
        <v>0</v>
      </c>
      <c r="O73"/>
    </row>
    <row r="74" spans="1:15" s="2" customFormat="1" ht="20.100000000000001" customHeight="1" thickTop="1" thickBot="1" x14ac:dyDescent="0.3">
      <c r="A74" s="93"/>
      <c r="B74" s="162" t="s">
        <v>22</v>
      </c>
      <c r="C74" s="163" t="s">
        <v>0</v>
      </c>
      <c r="D74" s="163" t="s">
        <v>1</v>
      </c>
      <c r="E74" s="164" t="s">
        <v>80</v>
      </c>
      <c r="F74" s="10"/>
      <c r="G74" s="85" t="s">
        <v>251</v>
      </c>
      <c r="I74" s="304">
        <v>93</v>
      </c>
      <c r="J74" s="303" t="b">
        <v>0</v>
      </c>
      <c r="K74" s="85" t="s">
        <v>263</v>
      </c>
      <c r="M74" s="304">
        <v>29</v>
      </c>
      <c r="N74" s="303" t="b">
        <v>0</v>
      </c>
    </row>
    <row r="75" spans="1:15" s="2" customFormat="1" ht="20.100000000000001" customHeight="1" thickBot="1" x14ac:dyDescent="0.3">
      <c r="A75" s="93">
        <v>1</v>
      </c>
      <c r="B75" s="178" t="s">
        <v>246</v>
      </c>
      <c r="C75" s="306"/>
      <c r="D75" s="264" t="s">
        <v>120</v>
      </c>
      <c r="E75" s="265" t="s">
        <v>111</v>
      </c>
      <c r="F75" s="10"/>
      <c r="G75" s="85" t="s">
        <v>252</v>
      </c>
      <c r="H75"/>
      <c r="I75" s="304">
        <v>150</v>
      </c>
      <c r="J75" s="303" t="b">
        <v>0</v>
      </c>
      <c r="K75" s="85" t="s">
        <v>264</v>
      </c>
      <c r="L75"/>
      <c r="M75" s="304">
        <v>100</v>
      </c>
      <c r="N75" s="303" t="b">
        <v>0</v>
      </c>
    </row>
    <row r="76" spans="1:15" s="2" customFormat="1" ht="20.100000000000001" customHeight="1" thickBot="1" x14ac:dyDescent="0.3">
      <c r="A76" s="93">
        <f>A75+1</f>
        <v>2</v>
      </c>
      <c r="B76" s="177" t="s">
        <v>375</v>
      </c>
      <c r="C76" s="179"/>
      <c r="D76" s="299" t="s">
        <v>121</v>
      </c>
      <c r="E76" s="300" t="s">
        <v>111</v>
      </c>
      <c r="F76" s="10"/>
      <c r="G76" s="85" t="s">
        <v>213</v>
      </c>
      <c r="I76" s="304">
        <v>114</v>
      </c>
      <c r="J76" s="303" t="b">
        <v>0</v>
      </c>
      <c r="K76" s="85" t="s">
        <v>265</v>
      </c>
      <c r="M76" s="304">
        <v>106</v>
      </c>
      <c r="N76" s="303" t="b">
        <v>0</v>
      </c>
      <c r="O76"/>
    </row>
    <row r="77" spans="1:15" s="2" customFormat="1" ht="20.100000000000001" customHeight="1" thickBot="1" x14ac:dyDescent="0.3">
      <c r="A77" s="93">
        <f t="shared" ref="A77:A81" si="4">A76+1</f>
        <v>3</v>
      </c>
      <c r="B77" s="171" t="s">
        <v>468</v>
      </c>
      <c r="C77" s="264" t="s">
        <v>399</v>
      </c>
      <c r="D77" s="176"/>
      <c r="E77" s="181"/>
      <c r="F77" s="740" t="s">
        <v>358</v>
      </c>
      <c r="G77" s="85" t="s">
        <v>253</v>
      </c>
      <c r="I77" s="304">
        <v>17</v>
      </c>
      <c r="J77" s="303" t="b">
        <v>0</v>
      </c>
      <c r="K77" s="85" t="s">
        <v>266</v>
      </c>
      <c r="M77" s="304">
        <v>106</v>
      </c>
      <c r="N77" s="303" t="b">
        <v>0</v>
      </c>
      <c r="O77" s="303" t="s">
        <v>24</v>
      </c>
    </row>
    <row r="78" spans="1:15" s="2" customFormat="1" ht="20.100000000000001" customHeight="1" thickBot="1" x14ac:dyDescent="0.3">
      <c r="A78" s="93">
        <f t="shared" si="4"/>
        <v>4</v>
      </c>
      <c r="B78" s="177" t="s">
        <v>467</v>
      </c>
      <c r="C78" s="179"/>
      <c r="D78" s="489" t="b">
        <v>0</v>
      </c>
      <c r="E78" s="300" t="s">
        <v>111</v>
      </c>
      <c r="F78" s="740"/>
      <c r="G78" s="85" t="s">
        <v>254</v>
      </c>
      <c r="I78" s="304">
        <v>25</v>
      </c>
      <c r="J78" s="303" t="b">
        <v>0</v>
      </c>
      <c r="K78" s="85" t="s">
        <v>267</v>
      </c>
      <c r="M78" s="304">
        <v>61</v>
      </c>
      <c r="N78" s="303" t="b">
        <v>0</v>
      </c>
      <c r="O78" s="303" t="s">
        <v>376</v>
      </c>
    </row>
    <row r="79" spans="1:15" s="2" customFormat="1" ht="20.100000000000001" customHeight="1" thickBot="1" x14ac:dyDescent="0.3">
      <c r="A79" s="93">
        <f t="shared" si="4"/>
        <v>5</v>
      </c>
      <c r="B79" s="171" t="s">
        <v>466</v>
      </c>
      <c r="C79" s="180"/>
      <c r="D79" s="264" t="s">
        <v>193</v>
      </c>
      <c r="E79" s="491" t="s">
        <v>111</v>
      </c>
      <c r="F79" s="10"/>
      <c r="G79" s="85" t="s">
        <v>238</v>
      </c>
      <c r="I79" s="304">
        <v>27</v>
      </c>
      <c r="J79" s="303" t="b">
        <v>0</v>
      </c>
      <c r="K79" s="85" t="s">
        <v>268</v>
      </c>
      <c r="M79" s="304">
        <v>127</v>
      </c>
      <c r="N79" s="303" t="b">
        <v>0</v>
      </c>
      <c r="O79" s="303" t="s">
        <v>377</v>
      </c>
    </row>
    <row r="80" spans="1:15" s="2" customFormat="1" ht="20.100000000000001" customHeight="1" thickBot="1" x14ac:dyDescent="0.3">
      <c r="A80" s="93">
        <f t="shared" si="4"/>
        <v>6</v>
      </c>
      <c r="B80" s="177" t="s">
        <v>439</v>
      </c>
      <c r="C80" s="179"/>
      <c r="D80" s="693" t="s">
        <v>193</v>
      </c>
      <c r="E80" s="300" t="s">
        <v>111</v>
      </c>
      <c r="F80" s="10"/>
      <c r="G80" s="85" t="s">
        <v>216</v>
      </c>
      <c r="I80" s="304">
        <v>21</v>
      </c>
      <c r="J80" s="303" t="b">
        <v>0</v>
      </c>
      <c r="K80" s="85" t="s">
        <v>269</v>
      </c>
      <c r="M80" s="304">
        <v>68</v>
      </c>
      <c r="N80" s="303" t="b">
        <v>0</v>
      </c>
    </row>
    <row r="81" spans="1:15" s="2" customFormat="1" ht="20.100000000000001" customHeight="1" thickBot="1" x14ac:dyDescent="0.3">
      <c r="A81" s="93">
        <f t="shared" si="4"/>
        <v>7</v>
      </c>
      <c r="B81" s="696" t="s">
        <v>386</v>
      </c>
      <c r="C81" s="697"/>
      <c r="D81" s="694"/>
      <c r="E81" s="695" t="s">
        <v>111</v>
      </c>
      <c r="F81" s="10"/>
      <c r="G81" s="85" t="s">
        <v>222</v>
      </c>
      <c r="H81"/>
      <c r="I81" s="304">
        <v>26</v>
      </c>
      <c r="J81" s="303" t="b">
        <v>0</v>
      </c>
      <c r="K81" s="85" t="s">
        <v>270</v>
      </c>
      <c r="L81"/>
      <c r="M81" s="304">
        <v>160</v>
      </c>
      <c r="N81" s="303" t="b">
        <v>0</v>
      </c>
    </row>
    <row r="82" spans="1:15" s="2" customFormat="1" ht="20.100000000000001" customHeight="1" thickTop="1" thickBot="1" x14ac:dyDescent="0.3">
      <c r="A82" s="93"/>
      <c r="B82" s="10"/>
      <c r="C82" s="79"/>
      <c r="D82" s="10"/>
      <c r="E82" s="10"/>
      <c r="F82" s="10"/>
      <c r="G82" s="85" t="s">
        <v>255</v>
      </c>
      <c r="H82"/>
      <c r="I82" s="304">
        <v>38</v>
      </c>
      <c r="J82" s="303" t="b">
        <v>0</v>
      </c>
      <c r="K82" s="85" t="s">
        <v>271</v>
      </c>
      <c r="L82"/>
      <c r="M82" s="304">
        <v>47</v>
      </c>
      <c r="N82" s="303" t="b">
        <v>0</v>
      </c>
    </row>
    <row r="83" spans="1:15" s="2" customFormat="1" ht="20.100000000000001" customHeight="1" thickBot="1" x14ac:dyDescent="0.3">
      <c r="A83" s="93"/>
      <c r="B83" s="10"/>
      <c r="C83" s="79"/>
      <c r="D83" s="10"/>
      <c r="E83" s="18"/>
      <c r="F83" s="10"/>
      <c r="G83" s="85" t="s">
        <v>131</v>
      </c>
      <c r="H83"/>
      <c r="I83" s="304">
        <v>30</v>
      </c>
      <c r="J83" s="303" t="b">
        <v>0</v>
      </c>
      <c r="K83" s="85" t="s">
        <v>272</v>
      </c>
      <c r="L83"/>
      <c r="M83" s="304">
        <v>38</v>
      </c>
      <c r="N83" s="303" t="b">
        <v>0</v>
      </c>
    </row>
    <row r="84" spans="1:15" ht="20.100000000000001" customHeight="1" thickBot="1" x14ac:dyDescent="0.55000000000000004">
      <c r="A84" s="9"/>
      <c r="B84" s="10"/>
      <c r="C84" s="79"/>
      <c r="D84" s="10"/>
      <c r="E84" s="182"/>
      <c r="G84" s="85" t="s">
        <v>256</v>
      </c>
      <c r="I84" s="304">
        <v>44</v>
      </c>
      <c r="J84" s="303" t="b">
        <v>0</v>
      </c>
      <c r="K84" s="85" t="s">
        <v>273</v>
      </c>
      <c r="M84" s="304">
        <v>43</v>
      </c>
      <c r="N84" s="303" t="b">
        <v>0</v>
      </c>
    </row>
    <row r="85" spans="1:15" s="2" customFormat="1" ht="20.100000000000001" customHeight="1" thickBot="1" x14ac:dyDescent="0.55000000000000004">
      <c r="A85" s="93"/>
      <c r="B85" s="10"/>
      <c r="C85" s="79"/>
      <c r="D85" s="10"/>
      <c r="E85" s="182"/>
      <c r="F85" s="10"/>
      <c r="G85" s="85" t="s">
        <v>257</v>
      </c>
      <c r="H85"/>
      <c r="I85" s="304">
        <v>81</v>
      </c>
      <c r="J85" s="303" t="b">
        <v>0</v>
      </c>
      <c r="K85" s="85" t="s">
        <v>274</v>
      </c>
      <c r="L85"/>
      <c r="M85" s="304">
        <v>124</v>
      </c>
      <c r="N85" s="303" t="b">
        <v>0</v>
      </c>
      <c r="O85"/>
    </row>
    <row r="86" spans="1:15" s="2" customFormat="1" ht="20.100000000000001" customHeight="1" thickBot="1" x14ac:dyDescent="0.3">
      <c r="A86" s="93"/>
      <c r="B86" s="10"/>
      <c r="C86" s="79"/>
      <c r="D86" s="10"/>
      <c r="E86" s="93"/>
      <c r="F86" s="10"/>
      <c r="G86" s="85" t="s">
        <v>258</v>
      </c>
      <c r="I86" s="304">
        <v>544</v>
      </c>
      <c r="J86" s="303" t="b">
        <v>0</v>
      </c>
      <c r="K86" s="85" t="s">
        <v>462</v>
      </c>
      <c r="M86" s="304">
        <v>24</v>
      </c>
      <c r="N86" s="303" t="b">
        <v>0</v>
      </c>
      <c r="O86"/>
    </row>
    <row r="87" spans="1:15" ht="27" thickBot="1" x14ac:dyDescent="0.3">
      <c r="A87" s="9"/>
      <c r="B87" s="21"/>
      <c r="C87" s="21"/>
      <c r="D87" s="21"/>
      <c r="E87" s="93"/>
      <c r="G87" s="2"/>
      <c r="H87" s="2"/>
      <c r="I87" s="2"/>
      <c r="K87" s="706" t="s">
        <v>464</v>
      </c>
      <c r="L87" s="2"/>
      <c r="M87" s="304">
        <v>169</v>
      </c>
      <c r="N87" s="303" t="b">
        <v>0</v>
      </c>
    </row>
    <row r="88" spans="1:15" s="2" customFormat="1" ht="33" thickTop="1" thickBot="1" x14ac:dyDescent="0.55000000000000004">
      <c r="A88" s="9"/>
      <c r="B88" s="720" t="s">
        <v>315</v>
      </c>
      <c r="C88" s="721"/>
      <c r="D88" s="182"/>
      <c r="E88" s="93"/>
      <c r="F88" s="10"/>
      <c r="J88"/>
      <c r="K88" s="707" t="s">
        <v>465</v>
      </c>
      <c r="M88" s="304">
        <v>13</v>
      </c>
      <c r="N88" s="303" t="b">
        <v>0</v>
      </c>
      <c r="O88"/>
    </row>
    <row r="89" spans="1:15" ht="32.25" thickBot="1" x14ac:dyDescent="0.55000000000000004">
      <c r="A89" s="9"/>
      <c r="B89" s="301"/>
      <c r="C89" s="302"/>
      <c r="D89" s="182"/>
      <c r="E89" s="93"/>
      <c r="G89" s="546" t="s">
        <v>120</v>
      </c>
      <c r="H89" s="35" t="s">
        <v>127</v>
      </c>
      <c r="I89" s="2"/>
    </row>
    <row r="90" spans="1:15" s="2" customFormat="1" ht="21.75" thickBot="1" x14ac:dyDescent="0.4">
      <c r="A90" s="9"/>
      <c r="B90" s="187" t="s">
        <v>316</v>
      </c>
      <c r="C90" s="183">
        <f>IF(C17="Yes",0,'Type I-II Landfill Closure'!G62)</f>
        <v>0</v>
      </c>
      <c r="D90" s="93" t="s">
        <v>398</v>
      </c>
      <c r="E90" s="93"/>
      <c r="F90" s="10"/>
      <c r="G90" s="40" t="s">
        <v>243</v>
      </c>
      <c r="H90" s="41"/>
      <c r="J90"/>
      <c r="K90"/>
      <c r="L90"/>
      <c r="M90"/>
      <c r="N90"/>
      <c r="O90"/>
    </row>
    <row r="91" spans="1:15" s="2" customFormat="1" ht="21.75" thickBot="1" x14ac:dyDescent="0.4">
      <c r="A91" s="9"/>
      <c r="B91" s="187" t="s">
        <v>123</v>
      </c>
      <c r="C91" s="183">
        <f>'Type I-II Landfill Post-Closure'!G40</f>
        <v>0</v>
      </c>
      <c r="D91" s="93"/>
      <c r="E91" s="93"/>
      <c r="F91" s="10"/>
      <c r="G91" s="40" t="s">
        <v>209</v>
      </c>
      <c r="H91" s="47"/>
      <c r="J91"/>
      <c r="K91"/>
      <c r="L91"/>
      <c r="M91"/>
      <c r="N91"/>
      <c r="O91"/>
    </row>
    <row r="92" spans="1:15" s="2" customFormat="1" ht="21.75" thickBot="1" x14ac:dyDescent="0.4">
      <c r="A92" s="9"/>
      <c r="B92" s="188" t="s">
        <v>317</v>
      </c>
      <c r="C92" s="184">
        <f>IF(C34="Yes",0,'Surface Imp. Closure'!G56)</f>
        <v>0</v>
      </c>
      <c r="D92" s="93"/>
      <c r="E92" s="93"/>
      <c r="F92" s="10"/>
      <c r="G92" s="40" t="s">
        <v>212</v>
      </c>
      <c r="H92" s="47"/>
      <c r="J92"/>
      <c r="K92"/>
      <c r="L92"/>
      <c r="M92"/>
      <c r="N92"/>
      <c r="O92"/>
    </row>
    <row r="93" spans="1:15" s="2" customFormat="1" ht="21.75" thickBot="1" x14ac:dyDescent="0.4">
      <c r="A93" s="9"/>
      <c r="B93" s="188" t="s">
        <v>110</v>
      </c>
      <c r="C93" s="184">
        <f>IF(C36="Yes",0,'Surface Imp. Post-Closure'!G25)</f>
        <v>0</v>
      </c>
      <c r="D93" s="93"/>
      <c r="E93" s="93"/>
      <c r="F93" s="10"/>
      <c r="G93" s="40" t="s">
        <v>214</v>
      </c>
      <c r="H93" s="47"/>
      <c r="J93"/>
      <c r="K93"/>
      <c r="L93"/>
      <c r="M93"/>
      <c r="N93"/>
      <c r="O93"/>
    </row>
    <row r="94" spans="1:15" s="2" customFormat="1" ht="21.75" thickBot="1" x14ac:dyDescent="0.4">
      <c r="A94" s="9"/>
      <c r="B94" s="189" t="s">
        <v>118</v>
      </c>
      <c r="C94" s="185">
        <f>IF(C51="Yes",0,'Type III Closure'!G47)</f>
        <v>0</v>
      </c>
      <c r="D94" s="93"/>
      <c r="E94" s="93"/>
      <c r="F94" s="10"/>
      <c r="G94" s="40" t="s">
        <v>217</v>
      </c>
      <c r="H94" s="47"/>
      <c r="J94"/>
      <c r="K94"/>
      <c r="L94"/>
      <c r="M94"/>
      <c r="N94"/>
      <c r="O94"/>
    </row>
    <row r="95" spans="1:15" ht="21.75" thickBot="1" x14ac:dyDescent="0.4">
      <c r="A95" s="9"/>
      <c r="B95" s="189" t="s">
        <v>119</v>
      </c>
      <c r="C95" s="185">
        <f>'Type III Post-Closure'!G27</f>
        <v>0</v>
      </c>
      <c r="D95" s="93"/>
      <c r="E95" s="93"/>
      <c r="G95" s="40" t="s">
        <v>223</v>
      </c>
      <c r="H95" s="47"/>
      <c r="I95" s="2"/>
    </row>
    <row r="96" spans="1:15" ht="21.75" thickBot="1" x14ac:dyDescent="0.4">
      <c r="A96" s="9"/>
      <c r="B96" s="190" t="s">
        <v>318</v>
      </c>
      <c r="C96" s="186">
        <f>'Geology Closure &amp; Post-Closure'!B31</f>
        <v>0</v>
      </c>
      <c r="D96" s="93"/>
      <c r="E96" s="93"/>
      <c r="G96" s="40" t="s">
        <v>244</v>
      </c>
      <c r="H96" s="47"/>
      <c r="I96" s="2"/>
    </row>
    <row r="97" spans="1:9" ht="21.75" thickBot="1" x14ac:dyDescent="0.4">
      <c r="A97" s="9"/>
      <c r="B97" s="190" t="s">
        <v>319</v>
      </c>
      <c r="C97" s="186">
        <f>'Geology Well Maintenance'!F20</f>
        <v>0</v>
      </c>
      <c r="D97" s="93"/>
      <c r="E97" s="93"/>
      <c r="G97" s="40" t="s">
        <v>225</v>
      </c>
      <c r="H97" s="47"/>
      <c r="I97" s="2"/>
    </row>
    <row r="98" spans="1:9" ht="24" thickBot="1" x14ac:dyDescent="0.4">
      <c r="B98" s="192" t="s">
        <v>320</v>
      </c>
      <c r="C98" s="191">
        <f>SUMIF(C90:C95,"&lt;&gt;#N/A")</f>
        <v>0</v>
      </c>
      <c r="D98" s="93"/>
      <c r="G98" s="40" t="s">
        <v>245</v>
      </c>
      <c r="H98" s="47"/>
      <c r="I98" s="2"/>
    </row>
    <row r="99" spans="1:9" ht="16.5" thickTop="1" thickBot="1" x14ac:dyDescent="0.3">
      <c r="B99" s="21"/>
      <c r="C99" s="21"/>
      <c r="D99" s="93"/>
      <c r="G99" s="40" t="s">
        <v>227</v>
      </c>
      <c r="H99" s="47"/>
      <c r="I99" s="2"/>
    </row>
    <row r="100" spans="1:9" ht="21.75" thickBot="1" x14ac:dyDescent="0.4">
      <c r="B100" s="96" t="s">
        <v>168</v>
      </c>
      <c r="D100" s="93"/>
      <c r="G100" s="2"/>
      <c r="H100" s="2"/>
      <c r="I100" s="2"/>
    </row>
    <row r="101" spans="1:9" x14ac:dyDescent="0.25">
      <c r="D101" s="93"/>
      <c r="G101" s="2"/>
      <c r="H101" s="2"/>
      <c r="I101" s="2"/>
    </row>
    <row r="102" spans="1:9" x14ac:dyDescent="0.25">
      <c r="G102" s="2"/>
      <c r="H102" s="2"/>
      <c r="I102" s="2"/>
    </row>
    <row r="103" spans="1:9" x14ac:dyDescent="0.25">
      <c r="G103" s="2"/>
      <c r="H103" s="2"/>
      <c r="I103" s="2"/>
    </row>
    <row r="104" spans="1:9" x14ac:dyDescent="0.25">
      <c r="G104" s="2"/>
      <c r="H104" s="2"/>
      <c r="I104" s="2"/>
    </row>
    <row r="105" spans="1:9" x14ac:dyDescent="0.25">
      <c r="G105" s="2"/>
      <c r="H105" s="2"/>
      <c r="I105" s="2"/>
    </row>
    <row r="106" spans="1:9" x14ac:dyDescent="0.25">
      <c r="G106" s="2"/>
      <c r="H106" s="2"/>
      <c r="I106" s="2"/>
    </row>
    <row r="107" spans="1:9" x14ac:dyDescent="0.25">
      <c r="G107" s="2"/>
      <c r="H107" s="2"/>
      <c r="I107" s="2"/>
    </row>
  </sheetData>
  <sheetProtection selectLockedCells="1" selectUnlockedCells="1"/>
  <protectedRanges>
    <protectedRange algorithmName="SHA-512" hashValue="w5EBQDrQ2nf4mn+FNIxLSj2v46GNGLygfRh5WCp0gvbIYXi03G8PgMWaN96GWbX9Aq9eZ+6N6z9/owLzrm2u3A==" saltValue="AS8uhD8wZbgz3OfYqcy32w==" spinCount="100000" sqref="D14:D89" name="Range1"/>
  </protectedRanges>
  <dataConsolidate/>
  <mergeCells count="20">
    <mergeCell ref="B88:C88"/>
    <mergeCell ref="G14:J16"/>
    <mergeCell ref="B14:E14"/>
    <mergeCell ref="B31:E31"/>
    <mergeCell ref="B48:E48"/>
    <mergeCell ref="B73:E73"/>
    <mergeCell ref="F39:F40"/>
    <mergeCell ref="B39:B40"/>
    <mergeCell ref="C39:C40"/>
    <mergeCell ref="D39:D40"/>
    <mergeCell ref="E39:E40"/>
    <mergeCell ref="F77:F78"/>
    <mergeCell ref="G63:G64"/>
    <mergeCell ref="I63:I64"/>
    <mergeCell ref="K63:K64"/>
    <mergeCell ref="M63:M64"/>
    <mergeCell ref="B2:E2"/>
    <mergeCell ref="B12:E12"/>
    <mergeCell ref="A39:A40"/>
    <mergeCell ref="B60:E60"/>
  </mergeCells>
  <conditionalFormatting sqref="C50:C59 C75:C81 C16:C30 C33:C47">
    <cfRule type="containsBlanks" dxfId="6" priority="22">
      <formula>LEN(TRIM(C16))=0</formula>
    </cfRule>
  </conditionalFormatting>
  <conditionalFormatting sqref="G21:J21">
    <cfRule type="expression" dxfId="5" priority="9">
      <formula>$C$21="Yes"</formula>
    </cfRule>
  </conditionalFormatting>
  <conditionalFormatting sqref="G28:J28">
    <cfRule type="expression" dxfId="4" priority="8">
      <formula>$C$28="Yes"</formula>
    </cfRule>
  </conditionalFormatting>
  <conditionalFormatting sqref="G39:J40">
    <cfRule type="expression" dxfId="3" priority="7">
      <formula>$C$39="Yes"</formula>
    </cfRule>
  </conditionalFormatting>
  <conditionalFormatting sqref="G56:J56">
    <cfRule type="expression" dxfId="2" priority="6">
      <formula>$C$56="Yes"</formula>
    </cfRule>
  </conditionalFormatting>
  <conditionalFormatting sqref="C13">
    <cfRule type="containsText" dxfId="1" priority="5" operator="containsText" text="SELECT REGION">
      <formula>NOT(ISERROR(SEARCH("SELECT REGION",C13)))</formula>
    </cfRule>
  </conditionalFormatting>
  <conditionalFormatting sqref="G29:J29">
    <cfRule type="expression" dxfId="0" priority="4">
      <formula>$C$29="Yes"</formula>
    </cfRule>
  </conditionalFormatting>
  <dataValidations count="2">
    <dataValidation type="list" allowBlank="1" showInputMessage="1" showErrorMessage="1" sqref="C79">
      <formula1>"Yes; answer question below,No"</formula1>
    </dataValidation>
    <dataValidation type="list" allowBlank="1" showInputMessage="1" showErrorMessage="1" sqref="C80">
      <formula1>"Yes,No"</formula1>
    </dataValidation>
  </dataValidations>
  <pageMargins left="0.25" right="0.25" top="0.75" bottom="0.75" header="0.3" footer="0.3"/>
  <pageSetup scale="45" orientation="landscape" r:id="rId1"/>
  <rowBreaks count="1" manualBreakCount="1">
    <brk id="61" min="1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7</xdr:col>
                    <xdr:colOff>133350</xdr:colOff>
                    <xdr:row>64</xdr:row>
                    <xdr:rowOff>0</xdr:rowOff>
                  </from>
                  <to>
                    <xdr:col>8</xdr:col>
                    <xdr:colOff>533400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7</xdr:col>
                    <xdr:colOff>133350</xdr:colOff>
                    <xdr:row>65</xdr:row>
                    <xdr:rowOff>0</xdr:rowOff>
                  </from>
                  <to>
                    <xdr:col>8</xdr:col>
                    <xdr:colOff>533400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7</xdr:col>
                    <xdr:colOff>133350</xdr:colOff>
                    <xdr:row>66</xdr:row>
                    <xdr:rowOff>0</xdr:rowOff>
                  </from>
                  <to>
                    <xdr:col>8</xdr:col>
                    <xdr:colOff>533400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7</xdr:col>
                    <xdr:colOff>133350</xdr:colOff>
                    <xdr:row>67</xdr:row>
                    <xdr:rowOff>0</xdr:rowOff>
                  </from>
                  <to>
                    <xdr:col>8</xdr:col>
                    <xdr:colOff>533400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7</xdr:col>
                    <xdr:colOff>133350</xdr:colOff>
                    <xdr:row>68</xdr:row>
                    <xdr:rowOff>0</xdr:rowOff>
                  </from>
                  <to>
                    <xdr:col>8</xdr:col>
                    <xdr:colOff>533400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7</xdr:col>
                    <xdr:colOff>133350</xdr:colOff>
                    <xdr:row>69</xdr:row>
                    <xdr:rowOff>0</xdr:rowOff>
                  </from>
                  <to>
                    <xdr:col>8</xdr:col>
                    <xdr:colOff>533400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7</xdr:col>
                    <xdr:colOff>133350</xdr:colOff>
                    <xdr:row>72</xdr:row>
                    <xdr:rowOff>133350</xdr:rowOff>
                  </from>
                  <to>
                    <xdr:col>8</xdr:col>
                    <xdr:colOff>533400</xdr:colOff>
                    <xdr:row>72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7</xdr:col>
                    <xdr:colOff>133350</xdr:colOff>
                    <xdr:row>70</xdr:row>
                    <xdr:rowOff>0</xdr:rowOff>
                  </from>
                  <to>
                    <xdr:col>8</xdr:col>
                    <xdr:colOff>533400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7</xdr:col>
                    <xdr:colOff>133350</xdr:colOff>
                    <xdr:row>73</xdr:row>
                    <xdr:rowOff>0</xdr:rowOff>
                  </from>
                  <to>
                    <xdr:col>8</xdr:col>
                    <xdr:colOff>533400</xdr:colOff>
                    <xdr:row>73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Check Box 17">
              <controlPr defaultSize="0" autoFill="0" autoLine="0" autoPict="0">
                <anchor moveWithCells="1">
                  <from>
                    <xdr:col>7</xdr:col>
                    <xdr:colOff>133350</xdr:colOff>
                    <xdr:row>74</xdr:row>
                    <xdr:rowOff>0</xdr:rowOff>
                  </from>
                  <to>
                    <xdr:col>8</xdr:col>
                    <xdr:colOff>533400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4" name="Check Box 18">
              <controlPr defaultSize="0" autoFill="0" autoLine="0" autoPict="0">
                <anchor moveWithCells="1">
                  <from>
                    <xdr:col>7</xdr:col>
                    <xdr:colOff>133350</xdr:colOff>
                    <xdr:row>75</xdr:row>
                    <xdr:rowOff>0</xdr:rowOff>
                  </from>
                  <to>
                    <xdr:col>8</xdr:col>
                    <xdr:colOff>533400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5" name="Check Box 19">
              <controlPr defaultSize="0" autoFill="0" autoLine="0" autoPict="0">
                <anchor moveWithCells="1">
                  <from>
                    <xdr:col>7</xdr:col>
                    <xdr:colOff>133350</xdr:colOff>
                    <xdr:row>76</xdr:row>
                    <xdr:rowOff>0</xdr:rowOff>
                  </from>
                  <to>
                    <xdr:col>8</xdr:col>
                    <xdr:colOff>533400</xdr:colOff>
                    <xdr:row>76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6" name="Check Box 20">
              <controlPr defaultSize="0" autoFill="0" autoLine="0" autoPict="0">
                <anchor moveWithCells="1">
                  <from>
                    <xdr:col>7</xdr:col>
                    <xdr:colOff>133350</xdr:colOff>
                    <xdr:row>77</xdr:row>
                    <xdr:rowOff>0</xdr:rowOff>
                  </from>
                  <to>
                    <xdr:col>8</xdr:col>
                    <xdr:colOff>533400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7" name="Check Box 21">
              <controlPr defaultSize="0" autoFill="0" autoLine="0" autoPict="0">
                <anchor moveWithCells="1">
                  <from>
                    <xdr:col>7</xdr:col>
                    <xdr:colOff>133350</xdr:colOff>
                    <xdr:row>78</xdr:row>
                    <xdr:rowOff>0</xdr:rowOff>
                  </from>
                  <to>
                    <xdr:col>8</xdr:col>
                    <xdr:colOff>533400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8" name="Check Box 22">
              <controlPr defaultSize="0" autoFill="0" autoLine="0" autoPict="0">
                <anchor moveWithCells="1">
                  <from>
                    <xdr:col>7</xdr:col>
                    <xdr:colOff>133350</xdr:colOff>
                    <xdr:row>79</xdr:row>
                    <xdr:rowOff>0</xdr:rowOff>
                  </from>
                  <to>
                    <xdr:col>8</xdr:col>
                    <xdr:colOff>533400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9" name="Check Box 23">
              <controlPr defaultSize="0" autoFill="0" autoLine="0" autoPict="0">
                <anchor moveWithCells="1">
                  <from>
                    <xdr:col>7</xdr:col>
                    <xdr:colOff>133350</xdr:colOff>
                    <xdr:row>80</xdr:row>
                    <xdr:rowOff>0</xdr:rowOff>
                  </from>
                  <to>
                    <xdr:col>8</xdr:col>
                    <xdr:colOff>533400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0" name="Check Box 24">
              <controlPr defaultSize="0" autoFill="0" autoLine="0" autoPict="0">
                <anchor moveWithCells="1">
                  <from>
                    <xdr:col>7</xdr:col>
                    <xdr:colOff>133350</xdr:colOff>
                    <xdr:row>81</xdr:row>
                    <xdr:rowOff>0</xdr:rowOff>
                  </from>
                  <to>
                    <xdr:col>8</xdr:col>
                    <xdr:colOff>533400</xdr:colOff>
                    <xdr:row>81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1" name="Check Box 25">
              <controlPr defaultSize="0" autoFill="0" autoLine="0" autoPict="0">
                <anchor moveWithCells="1">
                  <from>
                    <xdr:col>7</xdr:col>
                    <xdr:colOff>133350</xdr:colOff>
                    <xdr:row>82</xdr:row>
                    <xdr:rowOff>0</xdr:rowOff>
                  </from>
                  <to>
                    <xdr:col>8</xdr:col>
                    <xdr:colOff>533400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2" name="Check Box 26">
              <controlPr defaultSize="0" autoFill="0" autoLine="0" autoPict="0">
                <anchor moveWithCells="1">
                  <from>
                    <xdr:col>7</xdr:col>
                    <xdr:colOff>133350</xdr:colOff>
                    <xdr:row>83</xdr:row>
                    <xdr:rowOff>0</xdr:rowOff>
                  </from>
                  <to>
                    <xdr:col>8</xdr:col>
                    <xdr:colOff>533400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3" name="Check Box 27">
              <controlPr defaultSize="0" autoFill="0" autoLine="0" autoPict="0">
                <anchor moveWithCells="1">
                  <from>
                    <xdr:col>7</xdr:col>
                    <xdr:colOff>133350</xdr:colOff>
                    <xdr:row>84</xdr:row>
                    <xdr:rowOff>0</xdr:rowOff>
                  </from>
                  <to>
                    <xdr:col>8</xdr:col>
                    <xdr:colOff>533400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4" name="Check Box 50">
              <controlPr defaultSize="0" autoFill="0" autoLine="0" autoPict="0">
                <anchor moveWithCells="1">
                  <from>
                    <xdr:col>7</xdr:col>
                    <xdr:colOff>133350</xdr:colOff>
                    <xdr:row>70</xdr:row>
                    <xdr:rowOff>200025</xdr:rowOff>
                  </from>
                  <to>
                    <xdr:col>8</xdr:col>
                    <xdr:colOff>533400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5" name="Check Box 51">
              <controlPr defaultSize="0" autoFill="0" autoLine="0" autoPict="0">
                <anchor moveWithCells="1">
                  <from>
                    <xdr:col>7</xdr:col>
                    <xdr:colOff>133350</xdr:colOff>
                    <xdr:row>85</xdr:row>
                    <xdr:rowOff>0</xdr:rowOff>
                  </from>
                  <to>
                    <xdr:col>8</xdr:col>
                    <xdr:colOff>533400</xdr:colOff>
                    <xdr:row>85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6" name="Check Box 52">
              <controlPr defaultSize="0" autoFill="0" autoLine="0" autoPict="0">
                <anchor moveWithCells="1">
                  <from>
                    <xdr:col>11</xdr:col>
                    <xdr:colOff>133350</xdr:colOff>
                    <xdr:row>64</xdr:row>
                    <xdr:rowOff>0</xdr:rowOff>
                  </from>
                  <to>
                    <xdr:col>12</xdr:col>
                    <xdr:colOff>409575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7" name="Check Box 53">
              <controlPr defaultSize="0" autoFill="0" autoLine="0" autoPict="0">
                <anchor moveWithCells="1">
                  <from>
                    <xdr:col>11</xdr:col>
                    <xdr:colOff>133350</xdr:colOff>
                    <xdr:row>65</xdr:row>
                    <xdr:rowOff>0</xdr:rowOff>
                  </from>
                  <to>
                    <xdr:col>12</xdr:col>
                    <xdr:colOff>400050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8" name="Check Box 54">
              <controlPr defaultSize="0" autoFill="0" autoLine="0" autoPict="0">
                <anchor moveWithCells="1">
                  <from>
                    <xdr:col>11</xdr:col>
                    <xdr:colOff>133350</xdr:colOff>
                    <xdr:row>66</xdr:row>
                    <xdr:rowOff>0</xdr:rowOff>
                  </from>
                  <to>
                    <xdr:col>12</xdr:col>
                    <xdr:colOff>400050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9" name="Check Box 55">
              <controlPr defaultSize="0" autoFill="0" autoLine="0" autoPict="0">
                <anchor moveWithCells="1">
                  <from>
                    <xdr:col>11</xdr:col>
                    <xdr:colOff>133350</xdr:colOff>
                    <xdr:row>67</xdr:row>
                    <xdr:rowOff>0</xdr:rowOff>
                  </from>
                  <to>
                    <xdr:col>12</xdr:col>
                    <xdr:colOff>400050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0" name="Check Box 56">
              <controlPr defaultSize="0" autoFill="0" autoLine="0" autoPict="0">
                <anchor moveWithCells="1">
                  <from>
                    <xdr:col>11</xdr:col>
                    <xdr:colOff>133350</xdr:colOff>
                    <xdr:row>68</xdr:row>
                    <xdr:rowOff>0</xdr:rowOff>
                  </from>
                  <to>
                    <xdr:col>12</xdr:col>
                    <xdr:colOff>400050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1" name="Check Box 57">
              <controlPr defaultSize="0" autoFill="0" autoLine="0" autoPict="0">
                <anchor moveWithCells="1">
                  <from>
                    <xdr:col>11</xdr:col>
                    <xdr:colOff>133350</xdr:colOff>
                    <xdr:row>69</xdr:row>
                    <xdr:rowOff>0</xdr:rowOff>
                  </from>
                  <to>
                    <xdr:col>12</xdr:col>
                    <xdr:colOff>400050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2" name="Check Box 61">
              <controlPr defaultSize="0" autoFill="0" autoLine="0" autoPict="0">
                <anchor moveWithCells="1">
                  <from>
                    <xdr:col>11</xdr:col>
                    <xdr:colOff>133350</xdr:colOff>
                    <xdr:row>73</xdr:row>
                    <xdr:rowOff>0</xdr:rowOff>
                  </from>
                  <to>
                    <xdr:col>12</xdr:col>
                    <xdr:colOff>400050</xdr:colOff>
                    <xdr:row>73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3" name="Check Box 62">
              <controlPr defaultSize="0" autoFill="0" autoLine="0" autoPict="0">
                <anchor moveWithCells="1">
                  <from>
                    <xdr:col>11</xdr:col>
                    <xdr:colOff>133350</xdr:colOff>
                    <xdr:row>74</xdr:row>
                    <xdr:rowOff>0</xdr:rowOff>
                  </from>
                  <to>
                    <xdr:col>12</xdr:col>
                    <xdr:colOff>400050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4" name="Check Box 63">
              <controlPr defaultSize="0" autoFill="0" autoLine="0" autoPict="0">
                <anchor moveWithCells="1">
                  <from>
                    <xdr:col>11</xdr:col>
                    <xdr:colOff>133350</xdr:colOff>
                    <xdr:row>75</xdr:row>
                    <xdr:rowOff>0</xdr:rowOff>
                  </from>
                  <to>
                    <xdr:col>12</xdr:col>
                    <xdr:colOff>400050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5" name="Check Box 64">
              <controlPr defaultSize="0" autoFill="0" autoLine="0" autoPict="0">
                <anchor moveWithCells="1">
                  <from>
                    <xdr:col>11</xdr:col>
                    <xdr:colOff>133350</xdr:colOff>
                    <xdr:row>76</xdr:row>
                    <xdr:rowOff>0</xdr:rowOff>
                  </from>
                  <to>
                    <xdr:col>12</xdr:col>
                    <xdr:colOff>400050</xdr:colOff>
                    <xdr:row>76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6" name="Check Box 65">
              <controlPr defaultSize="0" autoFill="0" autoLine="0" autoPict="0">
                <anchor moveWithCells="1">
                  <from>
                    <xdr:col>11</xdr:col>
                    <xdr:colOff>133350</xdr:colOff>
                    <xdr:row>77</xdr:row>
                    <xdr:rowOff>0</xdr:rowOff>
                  </from>
                  <to>
                    <xdr:col>12</xdr:col>
                    <xdr:colOff>400050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7" name="Check Box 66">
              <controlPr defaultSize="0" autoFill="0" autoLine="0" autoPict="0">
                <anchor moveWithCells="1">
                  <from>
                    <xdr:col>11</xdr:col>
                    <xdr:colOff>133350</xdr:colOff>
                    <xdr:row>78</xdr:row>
                    <xdr:rowOff>0</xdr:rowOff>
                  </from>
                  <to>
                    <xdr:col>12</xdr:col>
                    <xdr:colOff>400050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8" name="Check Box 67">
              <controlPr defaultSize="0" autoFill="0" autoLine="0" autoPict="0">
                <anchor moveWithCells="1">
                  <from>
                    <xdr:col>11</xdr:col>
                    <xdr:colOff>133350</xdr:colOff>
                    <xdr:row>79</xdr:row>
                    <xdr:rowOff>0</xdr:rowOff>
                  </from>
                  <to>
                    <xdr:col>12</xdr:col>
                    <xdr:colOff>400050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9" name="Check Box 68">
              <controlPr defaultSize="0" autoFill="0" autoLine="0" autoPict="0">
                <anchor moveWithCells="1">
                  <from>
                    <xdr:col>11</xdr:col>
                    <xdr:colOff>133350</xdr:colOff>
                    <xdr:row>80</xdr:row>
                    <xdr:rowOff>0</xdr:rowOff>
                  </from>
                  <to>
                    <xdr:col>12</xdr:col>
                    <xdr:colOff>400050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0" name="Check Box 69">
              <controlPr defaultSize="0" autoFill="0" autoLine="0" autoPict="0">
                <anchor moveWithCells="1">
                  <from>
                    <xdr:col>11</xdr:col>
                    <xdr:colOff>133350</xdr:colOff>
                    <xdr:row>81</xdr:row>
                    <xdr:rowOff>0</xdr:rowOff>
                  </from>
                  <to>
                    <xdr:col>12</xdr:col>
                    <xdr:colOff>400050</xdr:colOff>
                    <xdr:row>81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41" name="Check Box 71">
              <controlPr defaultSize="0" autoFill="0" autoLine="0" autoPict="0">
                <anchor moveWithCells="1">
                  <from>
                    <xdr:col>11</xdr:col>
                    <xdr:colOff>133350</xdr:colOff>
                    <xdr:row>83</xdr:row>
                    <xdr:rowOff>0</xdr:rowOff>
                  </from>
                  <to>
                    <xdr:col>12</xdr:col>
                    <xdr:colOff>400050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42" name="Check Box 72">
              <controlPr defaultSize="0" autoFill="0" autoLine="0" autoPict="0">
                <anchor moveWithCells="1">
                  <from>
                    <xdr:col>11</xdr:col>
                    <xdr:colOff>133350</xdr:colOff>
                    <xdr:row>84</xdr:row>
                    <xdr:rowOff>0</xdr:rowOff>
                  </from>
                  <to>
                    <xdr:col>12</xdr:col>
                    <xdr:colOff>400050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3" name="Check Box 73">
              <controlPr defaultSize="0" autoFill="0" autoLine="0" autoPict="0">
                <anchor moveWithCells="1">
                  <from>
                    <xdr:col>11</xdr:col>
                    <xdr:colOff>133350</xdr:colOff>
                    <xdr:row>64</xdr:row>
                    <xdr:rowOff>0</xdr:rowOff>
                  </from>
                  <to>
                    <xdr:col>12</xdr:col>
                    <xdr:colOff>409575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4" name="Check Box 74">
              <controlPr defaultSize="0" autoFill="0" autoLine="0" autoPict="0">
                <anchor moveWithCells="1">
                  <from>
                    <xdr:col>11</xdr:col>
                    <xdr:colOff>133350</xdr:colOff>
                    <xdr:row>65</xdr:row>
                    <xdr:rowOff>0</xdr:rowOff>
                  </from>
                  <to>
                    <xdr:col>12</xdr:col>
                    <xdr:colOff>400050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5" name="Check Box 75">
              <controlPr defaultSize="0" autoFill="0" autoLine="0" autoPict="0">
                <anchor moveWithCells="1">
                  <from>
                    <xdr:col>11</xdr:col>
                    <xdr:colOff>133350</xdr:colOff>
                    <xdr:row>66</xdr:row>
                    <xdr:rowOff>0</xdr:rowOff>
                  </from>
                  <to>
                    <xdr:col>12</xdr:col>
                    <xdr:colOff>400050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6" name="Check Box 76">
              <controlPr defaultSize="0" autoFill="0" autoLine="0" autoPict="0">
                <anchor moveWithCells="1">
                  <from>
                    <xdr:col>11</xdr:col>
                    <xdr:colOff>133350</xdr:colOff>
                    <xdr:row>67</xdr:row>
                    <xdr:rowOff>0</xdr:rowOff>
                  </from>
                  <to>
                    <xdr:col>12</xdr:col>
                    <xdr:colOff>400050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7" name="Check Box 77">
              <controlPr defaultSize="0" autoFill="0" autoLine="0" autoPict="0">
                <anchor moveWithCells="1">
                  <from>
                    <xdr:col>11</xdr:col>
                    <xdr:colOff>133350</xdr:colOff>
                    <xdr:row>68</xdr:row>
                    <xdr:rowOff>0</xdr:rowOff>
                  </from>
                  <to>
                    <xdr:col>12</xdr:col>
                    <xdr:colOff>400050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8" name="Check Box 78">
              <controlPr defaultSize="0" autoFill="0" autoLine="0" autoPict="0">
                <anchor moveWithCells="1">
                  <from>
                    <xdr:col>11</xdr:col>
                    <xdr:colOff>133350</xdr:colOff>
                    <xdr:row>69</xdr:row>
                    <xdr:rowOff>0</xdr:rowOff>
                  </from>
                  <to>
                    <xdr:col>12</xdr:col>
                    <xdr:colOff>400050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9" name="Check Box 79">
              <controlPr defaultSize="0" autoFill="0" autoLine="0" autoPict="0">
                <anchor moveWithCells="1">
                  <from>
                    <xdr:col>11</xdr:col>
                    <xdr:colOff>133350</xdr:colOff>
                    <xdr:row>72</xdr:row>
                    <xdr:rowOff>142875</xdr:rowOff>
                  </from>
                  <to>
                    <xdr:col>12</xdr:col>
                    <xdr:colOff>400050</xdr:colOff>
                    <xdr:row>72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50" name="Check Box 80">
              <controlPr defaultSize="0" autoFill="0" autoLine="0" autoPict="0">
                <anchor moveWithCells="1">
                  <from>
                    <xdr:col>11</xdr:col>
                    <xdr:colOff>133350</xdr:colOff>
                    <xdr:row>69</xdr:row>
                    <xdr:rowOff>228600</xdr:rowOff>
                  </from>
                  <to>
                    <xdr:col>12</xdr:col>
                    <xdr:colOff>400050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1" name="Check Box 81">
              <controlPr defaultSize="0" autoFill="0" autoLine="0" autoPict="0">
                <anchor moveWithCells="1">
                  <from>
                    <xdr:col>11</xdr:col>
                    <xdr:colOff>133350</xdr:colOff>
                    <xdr:row>73</xdr:row>
                    <xdr:rowOff>0</xdr:rowOff>
                  </from>
                  <to>
                    <xdr:col>12</xdr:col>
                    <xdr:colOff>400050</xdr:colOff>
                    <xdr:row>73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52" name="Check Box 82">
              <controlPr defaultSize="0" autoFill="0" autoLine="0" autoPict="0">
                <anchor moveWithCells="1">
                  <from>
                    <xdr:col>11</xdr:col>
                    <xdr:colOff>133350</xdr:colOff>
                    <xdr:row>74</xdr:row>
                    <xdr:rowOff>0</xdr:rowOff>
                  </from>
                  <to>
                    <xdr:col>12</xdr:col>
                    <xdr:colOff>400050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53" name="Check Box 83">
              <controlPr defaultSize="0" autoFill="0" autoLine="0" autoPict="0">
                <anchor moveWithCells="1">
                  <from>
                    <xdr:col>11</xdr:col>
                    <xdr:colOff>133350</xdr:colOff>
                    <xdr:row>75</xdr:row>
                    <xdr:rowOff>0</xdr:rowOff>
                  </from>
                  <to>
                    <xdr:col>12</xdr:col>
                    <xdr:colOff>400050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54" name="Check Box 84">
              <controlPr defaultSize="0" autoFill="0" autoLine="0" autoPict="0">
                <anchor moveWithCells="1">
                  <from>
                    <xdr:col>11</xdr:col>
                    <xdr:colOff>133350</xdr:colOff>
                    <xdr:row>76</xdr:row>
                    <xdr:rowOff>0</xdr:rowOff>
                  </from>
                  <to>
                    <xdr:col>12</xdr:col>
                    <xdr:colOff>400050</xdr:colOff>
                    <xdr:row>76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5" name="Check Box 85">
              <controlPr defaultSize="0" autoFill="0" autoLine="0" autoPict="0">
                <anchor moveWithCells="1">
                  <from>
                    <xdr:col>11</xdr:col>
                    <xdr:colOff>133350</xdr:colOff>
                    <xdr:row>77</xdr:row>
                    <xdr:rowOff>0</xdr:rowOff>
                  </from>
                  <to>
                    <xdr:col>12</xdr:col>
                    <xdr:colOff>400050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6" name="Check Box 86">
              <controlPr defaultSize="0" autoFill="0" autoLine="0" autoPict="0">
                <anchor moveWithCells="1">
                  <from>
                    <xdr:col>11</xdr:col>
                    <xdr:colOff>133350</xdr:colOff>
                    <xdr:row>78</xdr:row>
                    <xdr:rowOff>0</xdr:rowOff>
                  </from>
                  <to>
                    <xdr:col>12</xdr:col>
                    <xdr:colOff>400050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7" name="Check Box 87">
              <controlPr defaultSize="0" autoFill="0" autoLine="0" autoPict="0">
                <anchor moveWithCells="1">
                  <from>
                    <xdr:col>11</xdr:col>
                    <xdr:colOff>133350</xdr:colOff>
                    <xdr:row>79</xdr:row>
                    <xdr:rowOff>0</xdr:rowOff>
                  </from>
                  <to>
                    <xdr:col>12</xdr:col>
                    <xdr:colOff>400050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8" name="Check Box 88">
              <controlPr defaultSize="0" autoFill="0" autoLine="0" autoPict="0">
                <anchor moveWithCells="1">
                  <from>
                    <xdr:col>11</xdr:col>
                    <xdr:colOff>133350</xdr:colOff>
                    <xdr:row>80</xdr:row>
                    <xdr:rowOff>0</xdr:rowOff>
                  </from>
                  <to>
                    <xdr:col>12</xdr:col>
                    <xdr:colOff>400050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9" name="Check Box 89">
              <controlPr defaultSize="0" autoFill="0" autoLine="0" autoPict="0">
                <anchor moveWithCells="1">
                  <from>
                    <xdr:col>11</xdr:col>
                    <xdr:colOff>133350</xdr:colOff>
                    <xdr:row>81</xdr:row>
                    <xdr:rowOff>0</xdr:rowOff>
                  </from>
                  <to>
                    <xdr:col>12</xdr:col>
                    <xdr:colOff>400050</xdr:colOff>
                    <xdr:row>81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60" name="Check Box 90">
              <controlPr defaultSize="0" autoFill="0" autoLine="0" autoPict="0">
                <anchor moveWithCells="1">
                  <from>
                    <xdr:col>11</xdr:col>
                    <xdr:colOff>133350</xdr:colOff>
                    <xdr:row>81</xdr:row>
                    <xdr:rowOff>200025</xdr:rowOff>
                  </from>
                  <to>
                    <xdr:col>12</xdr:col>
                    <xdr:colOff>400050</xdr:colOff>
                    <xdr:row>82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61" name="Check Box 91">
              <controlPr defaultSize="0" autoFill="0" autoLine="0" autoPict="0">
                <anchor moveWithCells="1">
                  <from>
                    <xdr:col>11</xdr:col>
                    <xdr:colOff>133350</xdr:colOff>
                    <xdr:row>83</xdr:row>
                    <xdr:rowOff>0</xdr:rowOff>
                  </from>
                  <to>
                    <xdr:col>12</xdr:col>
                    <xdr:colOff>400050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62" name="Check Box 92">
              <controlPr defaultSize="0" autoFill="0" autoLine="0" autoPict="0">
                <anchor moveWithCells="1">
                  <from>
                    <xdr:col>11</xdr:col>
                    <xdr:colOff>133350</xdr:colOff>
                    <xdr:row>84</xdr:row>
                    <xdr:rowOff>0</xdr:rowOff>
                  </from>
                  <to>
                    <xdr:col>12</xdr:col>
                    <xdr:colOff>400050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63" name="Check Box 93">
              <controlPr defaultSize="0" autoFill="0" autoLine="0" autoPict="0">
                <anchor moveWithCells="1">
                  <from>
                    <xdr:col>11</xdr:col>
                    <xdr:colOff>133350</xdr:colOff>
                    <xdr:row>70</xdr:row>
                    <xdr:rowOff>190500</xdr:rowOff>
                  </from>
                  <to>
                    <xdr:col>12</xdr:col>
                    <xdr:colOff>400050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64" name="Check Box 94">
              <controlPr defaultSize="0" autoFill="0" autoLine="0" autoPict="0">
                <anchor moveWithCells="1">
                  <from>
                    <xdr:col>11</xdr:col>
                    <xdr:colOff>133350</xdr:colOff>
                    <xdr:row>85</xdr:row>
                    <xdr:rowOff>0</xdr:rowOff>
                  </from>
                  <to>
                    <xdr:col>12</xdr:col>
                    <xdr:colOff>400050</xdr:colOff>
                    <xdr:row>85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65" name="Check Box 95">
              <controlPr defaultSize="0" autoFill="0" autoLine="0" autoPict="0">
                <anchor moveWithCells="1">
                  <from>
                    <xdr:col>11</xdr:col>
                    <xdr:colOff>133350</xdr:colOff>
                    <xdr:row>85</xdr:row>
                    <xdr:rowOff>0</xdr:rowOff>
                  </from>
                  <to>
                    <xdr:col>12</xdr:col>
                    <xdr:colOff>400050</xdr:colOff>
                    <xdr:row>85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66" name="Check Box 98">
              <controlPr defaultSize="0" autoFill="0" autoLine="0" autoPict="0">
                <anchor moveWithCells="1">
                  <from>
                    <xdr:col>11</xdr:col>
                    <xdr:colOff>133350</xdr:colOff>
                    <xdr:row>86</xdr:row>
                    <xdr:rowOff>0</xdr:rowOff>
                  </from>
                  <to>
                    <xdr:col>12</xdr:col>
                    <xdr:colOff>400050</xdr:colOff>
                    <xdr:row>86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67" name="Check Box 99">
              <controlPr defaultSize="0" autoFill="0" autoLine="0" autoPict="0">
                <anchor moveWithCells="1">
                  <from>
                    <xdr:col>11</xdr:col>
                    <xdr:colOff>133350</xdr:colOff>
                    <xdr:row>86</xdr:row>
                    <xdr:rowOff>0</xdr:rowOff>
                  </from>
                  <to>
                    <xdr:col>12</xdr:col>
                    <xdr:colOff>400050</xdr:colOff>
                    <xdr:row>86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68" name="Check Box 100">
              <controlPr defaultSize="0" autoFill="0" autoLine="0" autoPict="0">
                <anchor moveWithCells="1">
                  <from>
                    <xdr:col>11</xdr:col>
                    <xdr:colOff>133350</xdr:colOff>
                    <xdr:row>87</xdr:row>
                    <xdr:rowOff>0</xdr:rowOff>
                  </from>
                  <to>
                    <xdr:col>12</xdr:col>
                    <xdr:colOff>400050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69" name="Check Box 101">
              <controlPr defaultSize="0" autoFill="0" autoLine="0" autoPict="0">
                <anchor moveWithCells="1">
                  <from>
                    <xdr:col>11</xdr:col>
                    <xdr:colOff>133350</xdr:colOff>
                    <xdr:row>87</xdr:row>
                    <xdr:rowOff>0</xdr:rowOff>
                  </from>
                  <to>
                    <xdr:col>12</xdr:col>
                    <xdr:colOff>400050</xdr:colOff>
                    <xdr:row>87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Region">
          <x14:formula1>
            <xm:f>DATA!$A$2:$A$8</xm:f>
          </x14:formula1>
          <xm:sqref>C13</xm:sqref>
        </x14:dataValidation>
        <x14:dataValidation type="list" allowBlank="1" showInputMessage="1" showErrorMessage="1">
          <x14:formula1>
            <xm:f>DATA!$C$2:$C$3</xm:f>
          </x14:formula1>
          <xm:sqref>C16:C17 C50:C51 C26 C58 C45 C36:C37 C33:C34</xm:sqref>
        </x14:dataValidation>
        <x14:dataValidation type="list" allowBlank="1" showInputMessage="1" showErrorMessage="1">
          <x14:formula1>
            <xm:f>DATA!$D$2:$D$4</xm:f>
          </x14:formula1>
          <xm:sqref>C23 C53</xm:sqref>
        </x14:dataValidation>
        <x14:dataValidation type="list" allowBlank="1" showInputMessage="1" showErrorMessage="1">
          <x14:formula1>
            <xm:f>DATA!$E$2:$E$3</xm:f>
          </x14:formula1>
          <xm:sqref>C22</xm:sqref>
        </x14:dataValidation>
        <x14:dataValidation type="list" allowBlank="1" showInputMessage="1" showErrorMessage="1">
          <x14:formula1>
            <xm:f>DATA!$G$2:$G$3</xm:f>
          </x14:formula1>
          <xm:sqref>C21 C28:C29 C39:C40 C56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2"/>
  <sheetViews>
    <sheetView workbookViewId="0">
      <selection activeCell="N10" sqref="N10"/>
    </sheetView>
  </sheetViews>
  <sheetFormatPr defaultRowHeight="15" x14ac:dyDescent="0.25"/>
  <cols>
    <col min="1" max="1" width="29.28515625" customWidth="1"/>
    <col min="3" max="3" width="11.5703125" bestFit="1" customWidth="1"/>
    <col min="4" max="4" width="10.5703125" bestFit="1" customWidth="1"/>
  </cols>
  <sheetData>
    <row r="1" spans="1:13" ht="23.25" x14ac:dyDescent="0.35">
      <c r="A1" s="74" t="s">
        <v>183</v>
      </c>
    </row>
    <row r="2" spans="1:13" s="2" customFormat="1" x14ac:dyDescent="0.25">
      <c r="A2" s="2" t="s">
        <v>190</v>
      </c>
      <c r="B2" s="2">
        <v>0</v>
      </c>
      <c r="C2" s="2" t="s">
        <v>191</v>
      </c>
      <c r="D2" s="2" t="s">
        <v>197</v>
      </c>
      <c r="E2" s="2" t="s">
        <v>295</v>
      </c>
      <c r="G2" s="2" t="s">
        <v>191</v>
      </c>
      <c r="J2" s="2" t="s">
        <v>192</v>
      </c>
      <c r="M2" s="2" t="s">
        <v>457</v>
      </c>
    </row>
    <row r="3" spans="1:13" x14ac:dyDescent="0.25">
      <c r="A3" t="s">
        <v>184</v>
      </c>
      <c r="B3">
        <v>0.83</v>
      </c>
      <c r="C3" t="s">
        <v>192</v>
      </c>
      <c r="D3" t="s">
        <v>199</v>
      </c>
      <c r="E3" t="s">
        <v>202</v>
      </c>
      <c r="G3" t="s">
        <v>297</v>
      </c>
      <c r="J3" t="s">
        <v>357</v>
      </c>
      <c r="M3" t="s">
        <v>458</v>
      </c>
    </row>
    <row r="4" spans="1:13" x14ac:dyDescent="0.25">
      <c r="A4" t="s">
        <v>185</v>
      </c>
      <c r="B4">
        <v>0.86199999999999999</v>
      </c>
      <c r="D4" t="s">
        <v>198</v>
      </c>
    </row>
    <row r="5" spans="1:13" s="2" customFormat="1" x14ac:dyDescent="0.25">
      <c r="A5" s="2" t="s">
        <v>188</v>
      </c>
      <c r="B5" s="2">
        <v>0.83899999999999997</v>
      </c>
    </row>
    <row r="6" spans="1:13" s="2" customFormat="1" x14ac:dyDescent="0.25">
      <c r="A6" s="2" t="s">
        <v>189</v>
      </c>
      <c r="B6" s="2">
        <v>0.86199999999999999</v>
      </c>
    </row>
    <row r="7" spans="1:13" x14ac:dyDescent="0.25">
      <c r="A7" t="s">
        <v>186</v>
      </c>
      <c r="B7">
        <v>0.98299999999999998</v>
      </c>
    </row>
    <row r="8" spans="1:13" x14ac:dyDescent="0.25">
      <c r="A8" t="s">
        <v>187</v>
      </c>
      <c r="B8">
        <v>0.877</v>
      </c>
    </row>
    <row r="16" spans="1:13" x14ac:dyDescent="0.25">
      <c r="A16" t="s">
        <v>412</v>
      </c>
    </row>
    <row r="18" spans="1:5" ht="15.75" thickBot="1" x14ac:dyDescent="0.3">
      <c r="A18" s="543" t="s">
        <v>413</v>
      </c>
      <c r="B18" t="s">
        <v>417</v>
      </c>
      <c r="C18" t="s">
        <v>418</v>
      </c>
    </row>
    <row r="19" spans="1:5" x14ac:dyDescent="0.25">
      <c r="A19" t="s">
        <v>414</v>
      </c>
      <c r="B19" s="75">
        <v>155</v>
      </c>
      <c r="C19" s="544" t="e">
        <f>(acres/20)*8*B19</f>
        <v>#NAME?</v>
      </c>
      <c r="D19" s="544" t="e">
        <f t="shared" ref="D19:D20" si="0">B19*C19</f>
        <v>#NAME?</v>
      </c>
      <c r="E19" t="s">
        <v>430</v>
      </c>
    </row>
    <row r="20" spans="1:5" x14ac:dyDescent="0.25">
      <c r="A20" t="s">
        <v>415</v>
      </c>
      <c r="B20" s="75">
        <v>110</v>
      </c>
      <c r="C20">
        <v>16</v>
      </c>
      <c r="D20" s="544">
        <f t="shared" si="0"/>
        <v>1760</v>
      </c>
    </row>
    <row r="21" spans="1:5" x14ac:dyDescent="0.25">
      <c r="A21" t="s">
        <v>416</v>
      </c>
      <c r="B21" s="75">
        <v>135</v>
      </c>
      <c r="C21">
        <v>8</v>
      </c>
      <c r="D21" s="544">
        <f>B21*C21</f>
        <v>1080</v>
      </c>
    </row>
    <row r="22" spans="1:5" x14ac:dyDescent="0.25">
      <c r="A22" t="s">
        <v>419</v>
      </c>
      <c r="B22" s="75">
        <v>150</v>
      </c>
      <c r="C22" t="s">
        <v>421</v>
      </c>
      <c r="D22" s="544">
        <f>B22</f>
        <v>150</v>
      </c>
      <c r="E22" t="s">
        <v>431</v>
      </c>
    </row>
    <row r="23" spans="1:5" x14ac:dyDescent="0.25">
      <c r="A23" t="s">
        <v>420</v>
      </c>
      <c r="B23" s="75">
        <v>175</v>
      </c>
      <c r="C23" t="s">
        <v>421</v>
      </c>
      <c r="D23" s="544">
        <f>B23</f>
        <v>175</v>
      </c>
      <c r="E23" s="2" t="s">
        <v>431</v>
      </c>
    </row>
    <row r="26" spans="1:5" ht="30.75" customHeight="1" x14ac:dyDescent="0.25">
      <c r="A26" s="791" t="s">
        <v>68</v>
      </c>
      <c r="B26" s="792"/>
      <c r="C26" s="792"/>
      <c r="D26" s="792"/>
    </row>
    <row r="27" spans="1:5" x14ac:dyDescent="0.25">
      <c r="B27" s="2" t="s">
        <v>417</v>
      </c>
      <c r="C27" s="2" t="s">
        <v>418</v>
      </c>
    </row>
    <row r="28" spans="1:5" x14ac:dyDescent="0.25">
      <c r="A28" t="s">
        <v>422</v>
      </c>
      <c r="B28" s="75">
        <v>155</v>
      </c>
      <c r="C28">
        <v>40</v>
      </c>
    </row>
    <row r="29" spans="1:5" x14ac:dyDescent="0.25">
      <c r="A29" s="2" t="s">
        <v>415</v>
      </c>
      <c r="B29" s="75">
        <v>110</v>
      </c>
      <c r="C29">
        <v>16</v>
      </c>
    </row>
    <row r="34" spans="1:5" ht="30" customHeight="1" x14ac:dyDescent="0.25">
      <c r="A34" s="791" t="s">
        <v>69</v>
      </c>
      <c r="B34" s="792"/>
      <c r="C34" s="792"/>
      <c r="D34" s="792"/>
    </row>
    <row r="35" spans="1:5" x14ac:dyDescent="0.25">
      <c r="B35" s="2" t="s">
        <v>417</v>
      </c>
      <c r="C35" s="2" t="s">
        <v>418</v>
      </c>
    </row>
    <row r="36" spans="1:5" x14ac:dyDescent="0.25">
      <c r="A36" s="2" t="s">
        <v>422</v>
      </c>
      <c r="B36" s="75">
        <v>155</v>
      </c>
    </row>
    <row r="37" spans="1:5" x14ac:dyDescent="0.25">
      <c r="A37" t="s">
        <v>423</v>
      </c>
      <c r="B37" s="75">
        <v>130</v>
      </c>
    </row>
    <row r="38" spans="1:5" x14ac:dyDescent="0.25">
      <c r="A38" t="s">
        <v>424</v>
      </c>
      <c r="B38" s="75">
        <v>130</v>
      </c>
      <c r="C38" t="s">
        <v>425</v>
      </c>
      <c r="D38" s="544" t="e">
        <f>B38*acres</f>
        <v>#NAME?</v>
      </c>
      <c r="E38" t="s">
        <v>427</v>
      </c>
    </row>
    <row r="39" spans="1:5" x14ac:dyDescent="0.25">
      <c r="A39" t="s">
        <v>426</v>
      </c>
      <c r="B39" s="75">
        <v>120</v>
      </c>
      <c r="C39" t="s">
        <v>421</v>
      </c>
      <c r="D39" s="544" t="e">
        <f>B39*acres</f>
        <v>#NAME?</v>
      </c>
      <c r="E39" t="s">
        <v>428</v>
      </c>
    </row>
    <row r="40" spans="1:5" x14ac:dyDescent="0.25">
      <c r="A40" s="2" t="s">
        <v>419</v>
      </c>
      <c r="B40" s="75">
        <v>150</v>
      </c>
      <c r="C40" s="2" t="s">
        <v>421</v>
      </c>
      <c r="E40" t="s">
        <v>429</v>
      </c>
    </row>
    <row r="42" spans="1:5" x14ac:dyDescent="0.25">
      <c r="B42" s="544"/>
      <c r="C42" s="544"/>
    </row>
  </sheetData>
  <mergeCells count="2">
    <mergeCell ref="A26:D26"/>
    <mergeCell ref="A34:D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8"/>
    <pageSetUpPr fitToPage="1"/>
  </sheetPr>
  <dimension ref="A1:AD243"/>
  <sheetViews>
    <sheetView view="pageBreakPreview" topLeftCell="A13" zoomScale="60" zoomScaleNormal="70" workbookViewId="0">
      <selection activeCell="T26" sqref="T26"/>
    </sheetView>
  </sheetViews>
  <sheetFormatPr defaultColWidth="9.140625" defaultRowHeight="15" x14ac:dyDescent="0.25"/>
  <cols>
    <col min="1" max="1" width="66.85546875" style="2" bestFit="1" customWidth="1"/>
    <col min="2" max="2" width="13.28515625" style="2" bestFit="1" customWidth="1"/>
    <col min="3" max="3" width="11.42578125" style="2" customWidth="1"/>
    <col min="4" max="4" width="13.7109375" style="75" customWidth="1"/>
    <col min="5" max="5" width="16.28515625" style="2" bestFit="1" customWidth="1"/>
    <col min="6" max="6" width="18" style="2" bestFit="1" customWidth="1"/>
    <col min="7" max="7" width="25.5703125" style="2" customWidth="1"/>
    <col min="8" max="8" width="44.42578125" style="2" bestFit="1" customWidth="1"/>
    <col min="9" max="9" width="9.140625" style="2"/>
    <col min="10" max="13" width="8.28515625" style="681" customWidth="1"/>
    <col min="14" max="19" width="9.140625" style="681"/>
    <col min="20" max="16384" width="9.140625" style="2"/>
  </cols>
  <sheetData>
    <row r="1" spans="1:27" ht="15" customHeight="1" x14ac:dyDescent="0.25">
      <c r="A1" s="114" t="s">
        <v>106</v>
      </c>
      <c r="B1" s="756">
        <f>'Facility Site Specific Info.'!C4</f>
        <v>0</v>
      </c>
      <c r="C1" s="756"/>
      <c r="D1" s="756"/>
      <c r="E1" s="93"/>
      <c r="F1" s="10"/>
      <c r="G1" s="10"/>
      <c r="H1" s="10"/>
      <c r="I1" s="10"/>
      <c r="J1" s="680"/>
    </row>
    <row r="2" spans="1:27" ht="15" customHeight="1" x14ac:dyDescent="0.25">
      <c r="A2" s="114" t="s">
        <v>194</v>
      </c>
      <c r="B2" s="757">
        <f>'Facility Site Specific Info.'!C5</f>
        <v>0</v>
      </c>
      <c r="C2" s="757"/>
      <c r="D2" s="757"/>
      <c r="E2" s="93"/>
      <c r="F2" s="10"/>
      <c r="G2" s="10"/>
      <c r="H2" s="10"/>
      <c r="I2" s="10"/>
      <c r="J2" s="680"/>
    </row>
    <row r="3" spans="1:27" ht="15" customHeight="1" x14ac:dyDescent="0.25">
      <c r="A3" s="114" t="s">
        <v>181</v>
      </c>
      <c r="B3" s="758">
        <f>'Facility Site Specific Info.'!C6</f>
        <v>0</v>
      </c>
      <c r="C3" s="758"/>
      <c r="D3" s="758"/>
      <c r="E3" s="93"/>
      <c r="F3" s="10"/>
      <c r="G3" s="10"/>
      <c r="H3" s="10"/>
      <c r="I3" s="10"/>
      <c r="J3" s="680"/>
    </row>
    <row r="4" spans="1:27" ht="15" customHeight="1" x14ac:dyDescent="0.25">
      <c r="A4" s="114" t="s">
        <v>108</v>
      </c>
      <c r="B4" s="758">
        <f>'Facility Site Specific Info.'!C7</f>
        <v>0</v>
      </c>
      <c r="C4" s="758"/>
      <c r="D4" s="758"/>
      <c r="E4" s="93"/>
      <c r="F4" s="10"/>
      <c r="G4" s="10"/>
      <c r="H4" s="10"/>
      <c r="I4" s="10"/>
      <c r="J4" s="680"/>
    </row>
    <row r="5" spans="1:27" ht="15" customHeight="1" x14ac:dyDescent="0.25">
      <c r="A5" s="114" t="s">
        <v>182</v>
      </c>
      <c r="B5" s="757">
        <f>'Facility Site Specific Info.'!C8</f>
        <v>0</v>
      </c>
      <c r="C5" s="757"/>
      <c r="D5" s="757"/>
      <c r="E5" s="93"/>
      <c r="F5" s="10"/>
      <c r="G5" s="10"/>
      <c r="H5" s="10"/>
      <c r="I5" s="10"/>
      <c r="J5" s="680"/>
    </row>
    <row r="6" spans="1:27" ht="15" customHeight="1" x14ac:dyDescent="0.25">
      <c r="A6" s="114" t="s">
        <v>107</v>
      </c>
      <c r="B6" s="752">
        <f>'Facility Site Specific Info.'!C9</f>
        <v>0</v>
      </c>
      <c r="C6" s="752"/>
      <c r="D6" s="752"/>
      <c r="E6" s="93"/>
      <c r="F6" s="10"/>
      <c r="G6" s="10"/>
      <c r="H6" s="10"/>
      <c r="I6" s="10"/>
      <c r="J6" s="680"/>
    </row>
    <row r="7" spans="1:27" ht="15" customHeight="1" x14ac:dyDescent="0.25">
      <c r="A7" s="114"/>
      <c r="B7" s="98"/>
      <c r="C7" s="98"/>
      <c r="D7" s="98"/>
      <c r="E7" s="93"/>
      <c r="F7" s="10"/>
      <c r="G7" s="10"/>
      <c r="H7" s="10"/>
      <c r="I7" s="10"/>
      <c r="J7" s="680"/>
    </row>
    <row r="8" spans="1:27" ht="15" customHeight="1" x14ac:dyDescent="0.25">
      <c r="A8" s="258" t="s">
        <v>41</v>
      </c>
      <c r="B8" s="8">
        <f>'Facility Site Specific Info.'!C19</f>
        <v>0</v>
      </c>
      <c r="C8" s="92" t="s">
        <v>322</v>
      </c>
      <c r="D8" s="194"/>
      <c r="E8" s="93"/>
      <c r="F8" s="18"/>
      <c r="G8" s="18"/>
      <c r="H8" s="18"/>
      <c r="I8" s="18"/>
      <c r="J8" s="682"/>
      <c r="K8" s="488"/>
      <c r="L8" s="488"/>
      <c r="M8" s="488"/>
      <c r="N8" s="488"/>
      <c r="O8" s="488"/>
      <c r="P8" s="488"/>
      <c r="Q8" s="488"/>
      <c r="R8" s="488"/>
      <c r="S8" s="488"/>
      <c r="T8" s="21"/>
      <c r="U8" s="21"/>
      <c r="V8" s="21"/>
      <c r="W8" s="21"/>
      <c r="X8" s="21"/>
      <c r="Y8" s="21"/>
      <c r="Z8" s="21"/>
      <c r="AA8" s="21"/>
    </row>
    <row r="9" spans="1:27" ht="15" customHeight="1" x14ac:dyDescent="0.25">
      <c r="A9" s="259" t="s">
        <v>42</v>
      </c>
      <c r="B9" s="263">
        <f>'Facility Site Specific Info.'!C24</f>
        <v>0</v>
      </c>
      <c r="C9" s="92" t="s">
        <v>322</v>
      </c>
      <c r="D9" s="76"/>
      <c r="E9" s="18"/>
      <c r="F9" s="18"/>
      <c r="G9" s="18"/>
      <c r="H9" s="18"/>
      <c r="I9" s="18"/>
      <c r="J9" s="682"/>
      <c r="K9" s="488"/>
      <c r="L9" s="488"/>
      <c r="M9" s="488"/>
      <c r="N9" s="488"/>
      <c r="O9" s="488"/>
      <c r="P9" s="488"/>
      <c r="Q9" s="488"/>
      <c r="R9" s="488"/>
      <c r="S9" s="488"/>
      <c r="T9" s="21"/>
      <c r="U9" s="21"/>
      <c r="V9" s="21"/>
      <c r="W9" s="21"/>
      <c r="X9" s="21"/>
      <c r="Y9" s="21"/>
      <c r="Z9" s="21"/>
      <c r="AA9" s="21"/>
    </row>
    <row r="10" spans="1:27" ht="15" customHeight="1" x14ac:dyDescent="0.25">
      <c r="A10" s="260" t="s">
        <v>308</v>
      </c>
      <c r="B10" s="263">
        <f>'Facility Site Specific Info.'!C25</f>
        <v>0</v>
      </c>
      <c r="C10" s="261" t="s">
        <v>121</v>
      </c>
      <c r="D10" s="76"/>
      <c r="E10" s="18"/>
      <c r="F10" s="18"/>
      <c r="G10" s="18"/>
      <c r="H10" s="18"/>
      <c r="I10" s="18"/>
      <c r="J10" s="682"/>
      <c r="K10" s="488"/>
      <c r="L10" s="488"/>
      <c r="M10" s="488"/>
      <c r="N10" s="488"/>
      <c r="O10" s="488"/>
      <c r="P10" s="488"/>
      <c r="Q10" s="488"/>
      <c r="R10" s="488"/>
      <c r="S10" s="488"/>
      <c r="T10" s="21"/>
      <c r="U10" s="21"/>
      <c r="V10" s="21"/>
      <c r="W10" s="21"/>
      <c r="X10" s="21"/>
      <c r="Y10" s="21"/>
      <c r="Z10" s="21"/>
      <c r="AA10" s="21"/>
    </row>
    <row r="11" spans="1:27" ht="15.75" thickBot="1" x14ac:dyDescent="0.3">
      <c r="A11" s="18"/>
      <c r="B11" s="18"/>
      <c r="C11" s="18"/>
      <c r="D11" s="76"/>
      <c r="E11" s="193"/>
      <c r="F11" s="18"/>
      <c r="G11" s="18"/>
      <c r="H11" s="18"/>
      <c r="I11" s="18"/>
      <c r="J11" s="682"/>
      <c r="K11" s="488"/>
      <c r="L11" s="488"/>
      <c r="M11" s="488"/>
      <c r="N11" s="488"/>
      <c r="O11" s="488"/>
      <c r="P11" s="488"/>
      <c r="Q11" s="488"/>
      <c r="R11" s="488"/>
      <c r="S11" s="488"/>
      <c r="T11" s="21"/>
      <c r="U11" s="21"/>
      <c r="V11" s="21"/>
      <c r="W11" s="21"/>
      <c r="X11" s="21"/>
      <c r="Y11" s="21"/>
      <c r="Z11" s="21"/>
      <c r="AA11" s="21"/>
    </row>
    <row r="12" spans="1:27" ht="33" thickTop="1" thickBot="1" x14ac:dyDescent="0.55000000000000004">
      <c r="A12" s="753" t="s">
        <v>443</v>
      </c>
      <c r="B12" s="754"/>
      <c r="C12" s="754"/>
      <c r="D12" s="754"/>
      <c r="E12" s="754"/>
      <c r="F12" s="754"/>
      <c r="G12" s="754"/>
      <c r="H12" s="755"/>
      <c r="I12" s="21"/>
      <c r="J12" s="488"/>
      <c r="K12" s="488"/>
      <c r="L12" s="488"/>
      <c r="M12" s="488"/>
      <c r="N12" s="488"/>
      <c r="O12" s="488"/>
      <c r="P12" s="488"/>
      <c r="Q12" s="488"/>
      <c r="R12" s="488"/>
      <c r="S12" s="488"/>
      <c r="T12" s="21"/>
      <c r="U12" s="21"/>
      <c r="V12" s="21"/>
      <c r="W12" s="21"/>
      <c r="X12" s="21"/>
      <c r="Y12" s="21"/>
      <c r="Z12" s="21"/>
      <c r="AA12" s="21"/>
    </row>
    <row r="13" spans="1:27" ht="17.25" thickTop="1" thickBot="1" x14ac:dyDescent="0.3">
      <c r="A13" s="551" t="s">
        <v>22</v>
      </c>
      <c r="B13" s="196" t="s">
        <v>0</v>
      </c>
      <c r="C13" s="196" t="s">
        <v>1</v>
      </c>
      <c r="D13" s="197" t="s">
        <v>2</v>
      </c>
      <c r="E13" s="198" t="s">
        <v>43</v>
      </c>
      <c r="F13" s="199" t="s">
        <v>3</v>
      </c>
      <c r="G13" s="196" t="s">
        <v>4</v>
      </c>
      <c r="H13" s="200" t="s">
        <v>26</v>
      </c>
      <c r="I13" s="21"/>
      <c r="J13" s="488"/>
      <c r="K13" s="488"/>
      <c r="L13" s="488"/>
      <c r="M13" s="488"/>
      <c r="N13" s="488"/>
      <c r="O13" s="488"/>
      <c r="P13" s="488"/>
      <c r="Q13" s="488"/>
      <c r="R13" s="488"/>
      <c r="S13" s="488"/>
      <c r="T13" s="21"/>
      <c r="U13" s="21"/>
      <c r="V13" s="21"/>
      <c r="W13" s="21"/>
      <c r="X13" s="21"/>
      <c r="Y13" s="21"/>
      <c r="Z13" s="21"/>
      <c r="AA13" s="21"/>
    </row>
    <row r="14" spans="1:27" ht="20.100000000000001" customHeight="1" x14ac:dyDescent="0.25">
      <c r="A14" s="552" t="s">
        <v>44</v>
      </c>
      <c r="B14" s="227"/>
      <c r="C14" s="238"/>
      <c r="D14" s="375"/>
      <c r="E14" s="227"/>
      <c r="F14" s="375"/>
      <c r="G14" s="375"/>
      <c r="H14" s="624"/>
      <c r="I14" s="21"/>
      <c r="J14" s="488"/>
      <c r="K14" s="488"/>
      <c r="L14" s="488"/>
      <c r="M14" s="488"/>
      <c r="N14" s="488"/>
      <c r="O14" s="488"/>
      <c r="P14" s="488"/>
      <c r="Q14" s="488"/>
      <c r="R14" s="488"/>
      <c r="S14" s="488"/>
      <c r="T14" s="21"/>
      <c r="U14" s="21"/>
      <c r="V14" s="21"/>
      <c r="W14" s="21"/>
      <c r="X14" s="21"/>
      <c r="Y14" s="21"/>
      <c r="Z14" s="21"/>
      <c r="AA14" s="21"/>
    </row>
    <row r="15" spans="1:27" ht="21" x14ac:dyDescent="0.25">
      <c r="A15" s="553" t="s">
        <v>392</v>
      </c>
      <c r="B15" s="430">
        <f>IF('Facility Site Specific Info.'!C16="Yes",1,0)</f>
        <v>0</v>
      </c>
      <c r="C15" s="296" t="s">
        <v>354</v>
      </c>
      <c r="D15" s="611">
        <f>IF(B8&lt;=100,(B8/50)*15000,30000)</f>
        <v>0</v>
      </c>
      <c r="E15" s="291">
        <f>'Facility Site Specific Info.'!$D$13</f>
        <v>0</v>
      </c>
      <c r="F15" s="411">
        <f>B15*D15</f>
        <v>0</v>
      </c>
      <c r="G15" s="400"/>
      <c r="H15" s="204" t="s">
        <v>432</v>
      </c>
      <c r="I15" s="21"/>
      <c r="J15" s="488"/>
      <c r="K15" s="488"/>
      <c r="L15" s="488"/>
      <c r="M15" s="488"/>
      <c r="N15" s="488"/>
      <c r="O15" s="488"/>
      <c r="P15" s="488"/>
      <c r="Q15" s="488"/>
      <c r="R15" s="488"/>
      <c r="S15" s="488"/>
      <c r="T15" s="21"/>
      <c r="U15" s="21"/>
      <c r="V15" s="21"/>
      <c r="W15" s="21"/>
      <c r="X15" s="21"/>
      <c r="Y15" s="21"/>
      <c r="Z15" s="21"/>
      <c r="AA15" s="21"/>
    </row>
    <row r="16" spans="1:27" x14ac:dyDescent="0.25">
      <c r="A16" s="554" t="s">
        <v>45</v>
      </c>
      <c r="B16" s="431">
        <f>B8</f>
        <v>0</v>
      </c>
      <c r="C16" s="294" t="s">
        <v>46</v>
      </c>
      <c r="D16" s="369">
        <v>3150</v>
      </c>
      <c r="E16" s="295">
        <f>'Facility Site Specific Info.'!$D$13</f>
        <v>0</v>
      </c>
      <c r="F16" s="412">
        <f>B16*D16*E16</f>
        <v>0</v>
      </c>
      <c r="G16" s="401"/>
      <c r="H16" s="204" t="s">
        <v>400</v>
      </c>
      <c r="I16" s="21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21"/>
      <c r="U16" s="21"/>
      <c r="V16" s="21"/>
      <c r="W16" s="21"/>
      <c r="X16" s="21"/>
      <c r="Y16" s="21"/>
      <c r="Z16" s="21"/>
      <c r="AA16" s="21"/>
    </row>
    <row r="17" spans="1:27" x14ac:dyDescent="0.25">
      <c r="A17" s="555" t="s">
        <v>336</v>
      </c>
      <c r="B17" s="432"/>
      <c r="C17" s="213"/>
      <c r="D17" s="214"/>
      <c r="E17" s="215"/>
      <c r="F17" s="413"/>
      <c r="G17" s="401" t="s">
        <v>5</v>
      </c>
      <c r="H17" s="204"/>
      <c r="I17" s="21"/>
      <c r="J17" s="488"/>
      <c r="K17" s="488"/>
      <c r="L17" s="488"/>
      <c r="M17" s="488"/>
      <c r="N17" s="488"/>
      <c r="O17" s="488"/>
      <c r="P17" s="488"/>
      <c r="Q17" s="488"/>
      <c r="R17" s="488"/>
      <c r="S17" s="488"/>
      <c r="T17" s="21"/>
      <c r="U17" s="21"/>
      <c r="V17" s="21"/>
      <c r="W17" s="21"/>
      <c r="X17" s="21"/>
      <c r="Y17" s="21"/>
      <c r="Z17" s="21"/>
      <c r="AA17" s="21"/>
    </row>
    <row r="18" spans="1:27" x14ac:dyDescent="0.25">
      <c r="A18" s="556" t="s">
        <v>361</v>
      </c>
      <c r="B18" s="604">
        <f>(B8*43560*2)/27*IF('Facility Site Specific Info.'!C26="Yes",1,0)</f>
        <v>0</v>
      </c>
      <c r="C18" s="290" t="s">
        <v>171</v>
      </c>
      <c r="D18" s="612">
        <v>2.97</v>
      </c>
      <c r="E18" s="291">
        <f>'Facility Site Specific Info.'!$D$13</f>
        <v>0</v>
      </c>
      <c r="F18" s="414">
        <f>B18*D18*E18</f>
        <v>0</v>
      </c>
      <c r="G18" s="401"/>
      <c r="H18" s="204" t="s">
        <v>432</v>
      </c>
      <c r="I18" s="21"/>
      <c r="J18" s="488"/>
      <c r="K18" s="488"/>
      <c r="L18" s="488"/>
      <c r="M18" s="488"/>
      <c r="N18" s="488"/>
      <c r="O18" s="488"/>
      <c r="P18" s="488"/>
      <c r="Q18" s="488"/>
      <c r="R18" s="488"/>
      <c r="S18" s="488"/>
      <c r="T18" s="21"/>
      <c r="U18" s="21"/>
      <c r="V18" s="21"/>
      <c r="W18" s="21"/>
      <c r="X18" s="21"/>
      <c r="Y18" s="21"/>
      <c r="Z18" s="21"/>
      <c r="AA18" s="21"/>
    </row>
    <row r="19" spans="1:27" x14ac:dyDescent="0.25">
      <c r="A19" s="556" t="s">
        <v>446</v>
      </c>
      <c r="B19" s="473">
        <f>B18</f>
        <v>0</v>
      </c>
      <c r="C19" s="294" t="s">
        <v>171</v>
      </c>
      <c r="D19" s="613">
        <v>2.9</v>
      </c>
      <c r="E19" s="295">
        <f>'Facility Site Specific Info.'!$D$13</f>
        <v>0</v>
      </c>
      <c r="F19" s="412">
        <f>B19*D19*E19</f>
        <v>0</v>
      </c>
      <c r="G19" s="401"/>
      <c r="H19" s="204" t="s">
        <v>434</v>
      </c>
      <c r="I19" s="21"/>
      <c r="J19" s="488"/>
      <c r="K19" s="488"/>
      <c r="L19" s="488"/>
      <c r="M19" s="488"/>
      <c r="N19" s="488"/>
      <c r="O19" s="488"/>
      <c r="P19" s="488"/>
      <c r="Q19" s="488"/>
      <c r="R19" s="488"/>
      <c r="S19" s="488"/>
      <c r="T19" s="21"/>
      <c r="U19" s="21"/>
      <c r="V19" s="21"/>
      <c r="W19" s="21"/>
      <c r="X19" s="21"/>
      <c r="Y19" s="21"/>
      <c r="Z19" s="21"/>
      <c r="AA19" s="21"/>
    </row>
    <row r="20" spans="1:27" x14ac:dyDescent="0.25">
      <c r="A20" s="557" t="s">
        <v>337</v>
      </c>
      <c r="B20" s="435"/>
      <c r="C20" s="216"/>
      <c r="D20" s="217"/>
      <c r="E20" s="218"/>
      <c r="F20" s="383"/>
      <c r="G20" s="401" t="s">
        <v>5</v>
      </c>
      <c r="H20" s="204"/>
      <c r="I20" s="21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21"/>
      <c r="U20" s="21"/>
      <c r="V20" s="21"/>
      <c r="W20" s="21"/>
      <c r="X20" s="21"/>
      <c r="Y20" s="21"/>
      <c r="Z20" s="21"/>
      <c r="AA20" s="21"/>
    </row>
    <row r="21" spans="1:27" x14ac:dyDescent="0.25">
      <c r="A21" s="556" t="s">
        <v>393</v>
      </c>
      <c r="B21" s="472">
        <f>B22</f>
        <v>0</v>
      </c>
      <c r="C21" s="292" t="s">
        <v>171</v>
      </c>
      <c r="D21" s="614">
        <v>2.97</v>
      </c>
      <c r="E21" s="293">
        <f>'Facility Site Specific Info.'!$D$13</f>
        <v>0</v>
      </c>
      <c r="F21" s="415">
        <f>B21*D21*E21</f>
        <v>0</v>
      </c>
      <c r="G21" s="401"/>
      <c r="H21" s="204" t="s">
        <v>432</v>
      </c>
      <c r="I21" s="21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21"/>
      <c r="U21" s="21"/>
      <c r="V21" s="21"/>
      <c r="W21" s="21"/>
      <c r="X21" s="21"/>
      <c r="Y21" s="21"/>
      <c r="Z21" s="21"/>
      <c r="AA21" s="21"/>
    </row>
    <row r="22" spans="1:27" x14ac:dyDescent="0.25">
      <c r="A22" s="556" t="s">
        <v>394</v>
      </c>
      <c r="B22" s="604">
        <f>(B8*43560*2)/27*IF('Facility Site Specific Info.'!C26="No",1,0)*1.2</f>
        <v>0</v>
      </c>
      <c r="C22" s="290" t="s">
        <v>171</v>
      </c>
      <c r="D22" s="612">
        <f>IF('Facility Site Specific Info.'!C27&lt;5,0.7*'Facility Site Specific Info.'!C27+2,IF('Facility Site Specific Info.'!C27&lt;20,0.63*'Facility Site Specific Info.'!C27+1.55,12.5))</f>
        <v>2</v>
      </c>
      <c r="E22" s="291">
        <f>'Facility Site Specific Info.'!$D$13</f>
        <v>0</v>
      </c>
      <c r="F22" s="414">
        <f>B22*D22*E22</f>
        <v>0</v>
      </c>
      <c r="G22" s="401"/>
      <c r="H22" s="204" t="s">
        <v>435</v>
      </c>
      <c r="I22" s="21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21"/>
      <c r="U22" s="21"/>
      <c r="V22" s="21"/>
      <c r="W22" s="21"/>
      <c r="X22" s="21"/>
      <c r="Y22" s="21"/>
      <c r="Z22" s="21"/>
      <c r="AA22" s="21"/>
    </row>
    <row r="23" spans="1:27" x14ac:dyDescent="0.25">
      <c r="A23" s="558" t="s">
        <v>47</v>
      </c>
      <c r="B23" s="436">
        <f>(B8*43560*2)/27*IF('Facility Site Specific Info.'!C22="Artificial Turf",0,1)</f>
        <v>0</v>
      </c>
      <c r="C23" s="292" t="s">
        <v>48</v>
      </c>
      <c r="D23" s="368">
        <v>1.5</v>
      </c>
      <c r="E23" s="293">
        <f>'Facility Site Specific Info.'!$D$13</f>
        <v>0</v>
      </c>
      <c r="F23" s="415">
        <f>B23*D23*E23</f>
        <v>0</v>
      </c>
      <c r="G23" s="401"/>
      <c r="H23" s="204" t="s">
        <v>401</v>
      </c>
      <c r="I23" s="21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21"/>
      <c r="U23" s="21"/>
      <c r="V23" s="21"/>
      <c r="W23" s="21"/>
      <c r="X23" s="21"/>
      <c r="Y23" s="21"/>
      <c r="Z23" s="21"/>
      <c r="AA23" s="21"/>
    </row>
    <row r="24" spans="1:27" x14ac:dyDescent="0.25">
      <c r="A24" s="559" t="str">
        <f>IF('Facility Site Specific Info.'!C21="No; List Item on Right",'Facility Site Specific Info.'!G21,"No Alternative Low Permeability Layer from Facility")</f>
        <v>No Alternative Low Permeability Layer from Facility</v>
      </c>
      <c r="B24" s="434" t="str">
        <f>IF('Facility Site Specific Info.'!C21="Yes",0,'Facility Site Specific Info.'!H21)</f>
        <v>###</v>
      </c>
      <c r="C24" s="294" t="str">
        <f>'Facility Site Specific Info.'!I21</f>
        <v>UNITS</v>
      </c>
      <c r="D24" s="369" t="str">
        <f>IF(B24=0,0,'Facility Site Specific Info.'!J21)</f>
        <v>###</v>
      </c>
      <c r="E24" s="295"/>
      <c r="F24" s="412" t="e">
        <f>B24*D24*IF(B24="###",0,1)</f>
        <v>#VALUE!</v>
      </c>
      <c r="G24" s="401"/>
      <c r="H24" s="204" t="s">
        <v>436</v>
      </c>
      <c r="I24" s="21"/>
      <c r="J24" s="488"/>
      <c r="K24" s="488"/>
      <c r="L24" s="488"/>
      <c r="M24" s="488"/>
      <c r="N24" s="488"/>
      <c r="O24" s="488"/>
      <c r="P24" s="488"/>
      <c r="Q24" s="488"/>
      <c r="R24" s="488"/>
      <c r="S24" s="488"/>
      <c r="T24" s="21"/>
      <c r="U24" s="21"/>
      <c r="V24" s="21"/>
      <c r="W24" s="21"/>
      <c r="X24" s="21"/>
      <c r="Y24" s="21"/>
      <c r="Z24" s="21"/>
      <c r="AA24" s="21"/>
    </row>
    <row r="25" spans="1:27" ht="15.75" thickBot="1" x14ac:dyDescent="0.3">
      <c r="A25" s="560" t="s">
        <v>49</v>
      </c>
      <c r="B25" s="437"/>
      <c r="C25" s="239"/>
      <c r="D25" s="219"/>
      <c r="E25" s="220"/>
      <c r="F25" s="384"/>
      <c r="G25" s="374" t="e">
        <f>SUM(F15:F24)*(IF('Facility Site Specific Info.'!C16="Yes",1,0))</f>
        <v>#VALUE!</v>
      </c>
      <c r="H25" s="205"/>
      <c r="I25" s="21"/>
      <c r="J25" s="488"/>
      <c r="K25" s="488"/>
      <c r="L25" s="488"/>
      <c r="M25" s="488"/>
      <c r="N25" s="488"/>
      <c r="O25" s="488"/>
      <c r="P25" s="488"/>
      <c r="Q25" s="488"/>
      <c r="R25" s="488"/>
      <c r="S25" s="488"/>
      <c r="T25" s="21"/>
      <c r="U25" s="21"/>
      <c r="V25" s="21"/>
      <c r="W25" s="21"/>
      <c r="X25" s="21"/>
      <c r="Y25" s="21"/>
      <c r="Z25" s="21"/>
      <c r="AA25" s="21"/>
    </row>
    <row r="26" spans="1:27" ht="20.100000000000001" customHeight="1" x14ac:dyDescent="0.3">
      <c r="A26" s="561" t="s">
        <v>50</v>
      </c>
      <c r="B26" s="438"/>
      <c r="C26" s="230"/>
      <c r="D26" s="418"/>
      <c r="E26" s="229"/>
      <c r="F26" s="416"/>
      <c r="G26" s="402"/>
      <c r="H26" s="206"/>
      <c r="I26" s="21"/>
      <c r="J26" s="488"/>
      <c r="K26" s="488"/>
      <c r="L26" s="488"/>
      <c r="M26" s="488"/>
      <c r="N26" s="488"/>
      <c r="O26" s="488"/>
      <c r="P26" s="488"/>
      <c r="Q26" s="488"/>
      <c r="R26" s="488"/>
      <c r="S26" s="488"/>
      <c r="T26" s="21"/>
      <c r="U26" s="21"/>
      <c r="V26" s="21"/>
      <c r="W26" s="21"/>
      <c r="X26" s="21"/>
      <c r="Y26" s="21"/>
      <c r="Z26" s="21"/>
      <c r="AA26" s="21"/>
    </row>
    <row r="27" spans="1:27" x14ac:dyDescent="0.25">
      <c r="A27" s="562" t="s">
        <v>51</v>
      </c>
      <c r="B27" s="433">
        <f>B9*43560*0.5/27*IF('Facility Site Specific Info.'!C22="Artificial Turf",0,1)*IF('Facility Site Specific Info.'!C28="Yes",0,1)</f>
        <v>0</v>
      </c>
      <c r="C27" s="290" t="s">
        <v>171</v>
      </c>
      <c r="D27" s="612">
        <v>20</v>
      </c>
      <c r="E27" s="291">
        <f>'Facility Site Specific Info.'!$D$13</f>
        <v>0</v>
      </c>
      <c r="F27" s="414">
        <f>E27*D27*B27</f>
        <v>0</v>
      </c>
      <c r="G27" s="401"/>
      <c r="H27" s="204" t="s">
        <v>432</v>
      </c>
      <c r="I27" s="21"/>
      <c r="J27" s="488"/>
      <c r="K27" s="488"/>
      <c r="L27" s="488"/>
      <c r="M27" s="488"/>
      <c r="N27" s="488"/>
      <c r="O27" s="488"/>
      <c r="P27" s="488"/>
      <c r="Q27" s="488"/>
      <c r="R27" s="488"/>
      <c r="S27" s="488"/>
      <c r="T27" s="21"/>
      <c r="U27" s="21"/>
      <c r="V27" s="21"/>
      <c r="W27" s="21"/>
      <c r="X27" s="21"/>
      <c r="Y27" s="21"/>
      <c r="Z27" s="21"/>
      <c r="AA27" s="21"/>
    </row>
    <row r="28" spans="1:27" x14ac:dyDescent="0.25">
      <c r="A28" s="554" t="s">
        <v>173</v>
      </c>
      <c r="B28" s="436">
        <f>(B9*43560)*IF('Facility Site Specific Info.'!C22="Grass",1,0)*IF('Facility Site Specific Info.'!C28="Yes",1,0)</f>
        <v>0</v>
      </c>
      <c r="C28" s="292" t="s">
        <v>172</v>
      </c>
      <c r="D28" s="615">
        <v>0.76</v>
      </c>
      <c r="E28" s="293">
        <f>'Facility Site Specific Info.'!$D$13</f>
        <v>0</v>
      </c>
      <c r="F28" s="417">
        <f t="shared" ref="F28:F31" si="0">E28*D28*B28</f>
        <v>0</v>
      </c>
      <c r="G28" s="401" t="s">
        <v>5</v>
      </c>
      <c r="H28" s="204" t="s">
        <v>432</v>
      </c>
      <c r="I28" s="21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21"/>
      <c r="U28" s="21"/>
      <c r="V28" s="21"/>
      <c r="W28" s="21"/>
      <c r="X28" s="21"/>
      <c r="Y28" s="21"/>
      <c r="Z28" s="21"/>
      <c r="AA28" s="21"/>
    </row>
    <row r="29" spans="1:27" x14ac:dyDescent="0.25">
      <c r="A29" s="558" t="s">
        <v>52</v>
      </c>
      <c r="B29" s="436">
        <f>(B9*43560)*IF('Facility Site Specific Info.'!C22="Grass",1,0)</f>
        <v>0</v>
      </c>
      <c r="C29" s="292" t="s">
        <v>172</v>
      </c>
      <c r="D29" s="614">
        <v>0.6</v>
      </c>
      <c r="E29" s="293">
        <f>'Facility Site Specific Info.'!$D$13</f>
        <v>0</v>
      </c>
      <c r="F29" s="417">
        <f t="shared" si="0"/>
        <v>0</v>
      </c>
      <c r="G29" s="401"/>
      <c r="H29" s="204" t="s">
        <v>432</v>
      </c>
      <c r="I29" s="21"/>
      <c r="J29" s="488"/>
      <c r="K29" s="488"/>
      <c r="L29" s="488"/>
      <c r="M29" s="488"/>
      <c r="N29" s="488"/>
      <c r="O29" s="488"/>
      <c r="P29" s="488"/>
      <c r="Q29" s="488"/>
      <c r="R29" s="488"/>
      <c r="S29" s="488"/>
      <c r="T29" s="21"/>
      <c r="U29" s="21"/>
      <c r="V29" s="21"/>
      <c r="W29" s="21"/>
      <c r="X29" s="21"/>
      <c r="Y29" s="21"/>
      <c r="Z29" s="21"/>
      <c r="AA29" s="21"/>
    </row>
    <row r="30" spans="1:27" x14ac:dyDescent="0.25">
      <c r="A30" s="554" t="s">
        <v>174</v>
      </c>
      <c r="B30" s="436">
        <f>B31</f>
        <v>0</v>
      </c>
      <c r="C30" s="292" t="s">
        <v>172</v>
      </c>
      <c r="D30" s="615">
        <v>0.7</v>
      </c>
      <c r="E30" s="293">
        <f>'Facility Site Specific Info.'!$D$13</f>
        <v>0</v>
      </c>
      <c r="F30" s="417">
        <f t="shared" si="0"/>
        <v>0</v>
      </c>
      <c r="G30" s="401"/>
      <c r="H30" s="204" t="s">
        <v>432</v>
      </c>
      <c r="I30" s="21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21"/>
      <c r="U30" s="21"/>
      <c r="V30" s="21"/>
      <c r="W30" s="21"/>
      <c r="X30" s="21"/>
      <c r="Y30" s="21"/>
      <c r="Z30" s="21"/>
      <c r="AA30" s="21"/>
    </row>
    <row r="31" spans="1:27" x14ac:dyDescent="0.25">
      <c r="A31" s="558" t="s">
        <v>84</v>
      </c>
      <c r="B31" s="436">
        <f>(B9*43560)*IF('Facility Site Specific Info.'!C22="Artificial Turf",1,0)</f>
        <v>0</v>
      </c>
      <c r="C31" s="292" t="s">
        <v>172</v>
      </c>
      <c r="D31" s="614">
        <v>2.5</v>
      </c>
      <c r="E31" s="293">
        <f>'Facility Site Specific Info.'!$D$13</f>
        <v>0</v>
      </c>
      <c r="F31" s="417">
        <f t="shared" si="0"/>
        <v>0</v>
      </c>
      <c r="G31" s="401"/>
      <c r="H31" s="204" t="s">
        <v>432</v>
      </c>
      <c r="I31" s="21"/>
      <c r="J31" s="488"/>
      <c r="K31" s="488"/>
      <c r="L31" s="488"/>
      <c r="M31" s="488"/>
      <c r="N31" s="488"/>
      <c r="O31" s="488"/>
      <c r="P31" s="488"/>
      <c r="Q31" s="488"/>
      <c r="R31" s="488"/>
      <c r="S31" s="488"/>
      <c r="T31" s="21"/>
      <c r="U31" s="21"/>
      <c r="V31" s="21"/>
      <c r="W31" s="21"/>
      <c r="X31" s="21"/>
      <c r="Y31" s="21"/>
      <c r="Z31" s="21"/>
      <c r="AA31" s="21"/>
    </row>
    <row r="32" spans="1:27" x14ac:dyDescent="0.25">
      <c r="A32" s="563" t="str">
        <f>IF('Facility Site Specific Info.'!C28="No; List Item on Right",'Facility Site Specific Info.'!G28,"No Alternative Geogrid from Facility")</f>
        <v>No Alternative Geogrid from Facility</v>
      </c>
      <c r="B32" s="434" t="str">
        <f>IF('Facility Site Specific Info.'!C28="Yes",0,'Facility Site Specific Info.'!H28)</f>
        <v>###</v>
      </c>
      <c r="C32" s="294" t="str">
        <f>'Facility Site Specific Info.'!I28</f>
        <v>UNITS</v>
      </c>
      <c r="D32" s="369" t="str">
        <f>IF(B32=0,0,'Facility Site Specific Info.'!J28)</f>
        <v>###</v>
      </c>
      <c r="E32" s="295"/>
      <c r="F32" s="412" t="e">
        <f>B32*D32</f>
        <v>#VALUE!</v>
      </c>
      <c r="G32" s="401"/>
      <c r="H32" s="204" t="s">
        <v>436</v>
      </c>
      <c r="I32" s="21"/>
      <c r="J32" s="488"/>
      <c r="K32" s="488"/>
      <c r="L32" s="488"/>
      <c r="M32" s="488"/>
      <c r="N32" s="488"/>
      <c r="O32" s="488"/>
      <c r="P32" s="488"/>
      <c r="Q32" s="488"/>
      <c r="R32" s="488"/>
      <c r="S32" s="488"/>
      <c r="T32" s="21"/>
      <c r="U32" s="21"/>
      <c r="V32" s="21"/>
      <c r="W32" s="21"/>
      <c r="X32" s="21"/>
      <c r="Y32" s="21"/>
      <c r="Z32" s="21"/>
      <c r="AA32" s="21"/>
    </row>
    <row r="33" spans="1:27" ht="15.75" thickBot="1" x14ac:dyDescent="0.3">
      <c r="A33" s="560" t="s">
        <v>53</v>
      </c>
      <c r="B33" s="437"/>
      <c r="C33" s="239"/>
      <c r="D33" s="219"/>
      <c r="E33" s="220"/>
      <c r="F33" s="384"/>
      <c r="G33" s="374" t="e">
        <f>SUM(F27:F32)*(IF('Facility Site Specific Info.'!C16="Yes",1,0))</f>
        <v>#VALUE!</v>
      </c>
      <c r="H33" s="205"/>
      <c r="I33" s="21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21"/>
      <c r="U33" s="21"/>
      <c r="V33" s="21"/>
      <c r="W33" s="21"/>
      <c r="X33" s="21"/>
      <c r="Y33" s="21"/>
      <c r="Z33" s="21"/>
      <c r="AA33" s="21"/>
    </row>
    <row r="34" spans="1:27" ht="20.100000000000001" customHeight="1" x14ac:dyDescent="0.3">
      <c r="A34" s="564" t="s">
        <v>54</v>
      </c>
      <c r="B34" s="438"/>
      <c r="C34" s="230"/>
      <c r="D34" s="418"/>
      <c r="E34" s="229"/>
      <c r="F34" s="418"/>
      <c r="G34" s="403"/>
      <c r="H34" s="207"/>
      <c r="I34" s="21"/>
      <c r="J34" s="488"/>
      <c r="K34" s="488"/>
      <c r="L34" s="488"/>
      <c r="M34" s="488"/>
      <c r="N34" s="488"/>
      <c r="O34" s="488"/>
      <c r="P34" s="488"/>
      <c r="Q34" s="488"/>
      <c r="R34" s="488"/>
      <c r="S34" s="488"/>
      <c r="T34" s="21"/>
      <c r="U34" s="21"/>
      <c r="V34" s="21"/>
      <c r="W34" s="21"/>
      <c r="X34" s="21"/>
      <c r="Y34" s="21"/>
      <c r="Z34" s="21"/>
      <c r="AA34" s="21"/>
    </row>
    <row r="35" spans="1:27" ht="20.100000000000001" customHeight="1" x14ac:dyDescent="0.3">
      <c r="A35" s="555" t="s">
        <v>395</v>
      </c>
      <c r="B35" s="432"/>
      <c r="C35" s="213"/>
      <c r="D35" s="214"/>
      <c r="E35" s="215"/>
      <c r="F35" s="413"/>
      <c r="G35" s="401"/>
      <c r="H35" s="206"/>
      <c r="I35" s="21"/>
      <c r="J35" s="488"/>
      <c r="K35" s="488"/>
      <c r="L35" s="488"/>
      <c r="M35" s="488"/>
      <c r="N35" s="488"/>
      <c r="O35" s="488"/>
      <c r="P35" s="488"/>
      <c r="Q35" s="488"/>
      <c r="R35" s="488"/>
      <c r="S35" s="488"/>
      <c r="T35" s="21"/>
      <c r="U35" s="21"/>
      <c r="V35" s="21"/>
      <c r="W35" s="21"/>
      <c r="X35" s="21"/>
      <c r="Y35" s="21"/>
      <c r="Z35" s="21"/>
      <c r="AA35" s="21"/>
    </row>
    <row r="36" spans="1:27" x14ac:dyDescent="0.25">
      <c r="A36" s="565" t="s">
        <v>396</v>
      </c>
      <c r="B36" s="604">
        <f>(B8*43560*0.5/27)*IF('Facility Site Specific Info.'!C22="Grass",1,0)*IF('Facility Site Specific Info.'!C26="Yes",1,0)</f>
        <v>0</v>
      </c>
      <c r="C36" s="290" t="s">
        <v>171</v>
      </c>
      <c r="D36" s="612">
        <v>7.55</v>
      </c>
      <c r="E36" s="291">
        <f>'Facility Site Specific Info.'!$D$13</f>
        <v>0</v>
      </c>
      <c r="F36" s="419">
        <f>E36*D36*B36</f>
        <v>0</v>
      </c>
      <c r="G36" s="401"/>
      <c r="H36" s="204" t="s">
        <v>432</v>
      </c>
      <c r="I36" s="21"/>
      <c r="J36" s="488"/>
      <c r="K36" s="488"/>
      <c r="L36" s="488"/>
      <c r="M36" s="488"/>
      <c r="N36" s="488"/>
      <c r="O36" s="488"/>
      <c r="P36" s="488"/>
      <c r="Q36" s="488"/>
      <c r="R36" s="488"/>
      <c r="S36" s="488"/>
      <c r="T36" s="21"/>
      <c r="U36" s="21"/>
      <c r="V36" s="21"/>
      <c r="W36" s="21"/>
      <c r="X36" s="21"/>
      <c r="Y36" s="21"/>
      <c r="Z36" s="21"/>
      <c r="AA36" s="21"/>
    </row>
    <row r="37" spans="1:27" x14ac:dyDescent="0.25">
      <c r="A37" s="556" t="s">
        <v>394</v>
      </c>
      <c r="B37" s="605">
        <f>B36</f>
        <v>0</v>
      </c>
      <c r="C37" s="523" t="s">
        <v>171</v>
      </c>
      <c r="D37" s="616">
        <f>D19</f>
        <v>2.9</v>
      </c>
      <c r="E37" s="297">
        <f>'Facility Site Specific Info.'!$D$13</f>
        <v>0</v>
      </c>
      <c r="F37" s="524">
        <f>B37*D37*E37</f>
        <v>0</v>
      </c>
      <c r="G37" s="401"/>
      <c r="H37" s="204" t="s">
        <v>434</v>
      </c>
      <c r="I37" s="21"/>
      <c r="J37" s="488"/>
      <c r="K37" s="488"/>
      <c r="L37" s="488"/>
      <c r="M37" s="488"/>
      <c r="N37" s="488"/>
      <c r="O37" s="488"/>
      <c r="P37" s="488"/>
      <c r="Q37" s="488"/>
      <c r="R37" s="488"/>
      <c r="S37" s="488"/>
      <c r="T37" s="21"/>
      <c r="U37" s="21"/>
      <c r="V37" s="21"/>
      <c r="W37" s="21"/>
      <c r="X37" s="21"/>
      <c r="Y37" s="21"/>
      <c r="Z37" s="21"/>
      <c r="AA37" s="21"/>
    </row>
    <row r="38" spans="1:27" ht="20.100000000000001" customHeight="1" x14ac:dyDescent="0.3">
      <c r="A38" s="555" t="s">
        <v>437</v>
      </c>
      <c r="B38" s="432"/>
      <c r="C38" s="213"/>
      <c r="D38" s="214"/>
      <c r="E38" s="215"/>
      <c r="F38" s="413"/>
      <c r="G38" s="401"/>
      <c r="H38" s="206"/>
      <c r="I38" s="21"/>
      <c r="J38" s="488"/>
      <c r="K38" s="488"/>
      <c r="L38" s="488"/>
      <c r="M38" s="488"/>
      <c r="N38" s="488"/>
      <c r="O38" s="488"/>
      <c r="P38" s="488"/>
      <c r="Q38" s="488"/>
      <c r="R38" s="488"/>
      <c r="S38" s="488"/>
      <c r="T38" s="21"/>
      <c r="U38" s="21"/>
      <c r="V38" s="21"/>
      <c r="W38" s="21"/>
      <c r="X38" s="21"/>
      <c r="Y38" s="21"/>
      <c r="Z38" s="21"/>
      <c r="AA38" s="21"/>
    </row>
    <row r="39" spans="1:27" x14ac:dyDescent="0.25">
      <c r="A39" s="556" t="s">
        <v>397</v>
      </c>
      <c r="B39" s="472">
        <f>B40</f>
        <v>0</v>
      </c>
      <c r="C39" s="292" t="s">
        <v>171</v>
      </c>
      <c r="D39" s="615">
        <v>7.55</v>
      </c>
      <c r="E39" s="293">
        <f>'Facility Site Specific Info.'!$D$13</f>
        <v>0</v>
      </c>
      <c r="F39" s="420">
        <f>B39*D39*E39</f>
        <v>0</v>
      </c>
      <c r="G39" s="401"/>
      <c r="H39" s="204" t="s">
        <v>432</v>
      </c>
      <c r="I39" s="21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21"/>
      <c r="U39" s="21"/>
      <c r="V39" s="21"/>
      <c r="W39" s="21"/>
      <c r="X39" s="21"/>
      <c r="Y39" s="21"/>
      <c r="Z39" s="21"/>
      <c r="AA39" s="21"/>
    </row>
    <row r="40" spans="1:27" x14ac:dyDescent="0.25">
      <c r="A40" s="556" t="s">
        <v>394</v>
      </c>
      <c r="B40" s="472">
        <f>(B8*43560*0.5/27)*IF('Facility Site Specific Info.'!C22="Grass",1,0)*IF('Facility Site Specific Info.'!C26="No",1,0)*1.2</f>
        <v>0</v>
      </c>
      <c r="C40" s="292" t="s">
        <v>171</v>
      </c>
      <c r="D40" s="615">
        <f>D22</f>
        <v>2</v>
      </c>
      <c r="E40" s="293">
        <f>'Facility Site Specific Info.'!$D$13</f>
        <v>0</v>
      </c>
      <c r="F40" s="420">
        <f>B40*D40*E40</f>
        <v>0</v>
      </c>
      <c r="G40" s="401"/>
      <c r="H40" s="204" t="s">
        <v>435</v>
      </c>
      <c r="I40" s="21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21"/>
      <c r="U40" s="21"/>
      <c r="V40" s="21"/>
      <c r="W40" s="21"/>
      <c r="X40" s="21"/>
      <c r="Y40" s="21"/>
      <c r="Z40" s="21"/>
      <c r="AA40" s="21"/>
    </row>
    <row r="41" spans="1:27" x14ac:dyDescent="0.25">
      <c r="A41" s="558" t="s">
        <v>55</v>
      </c>
      <c r="B41" s="436">
        <f>(B8*43560/9)*IF('Facility Site Specific Info.'!C22="Grass",1,0)</f>
        <v>0</v>
      </c>
      <c r="C41" s="292" t="s">
        <v>321</v>
      </c>
      <c r="D41" s="614">
        <v>0.73</v>
      </c>
      <c r="E41" s="293">
        <f>'Facility Site Specific Info.'!$D$13</f>
        <v>0</v>
      </c>
      <c r="F41" s="420">
        <f>E41*D41*B41</f>
        <v>0</v>
      </c>
      <c r="G41" s="401"/>
      <c r="H41" s="204" t="s">
        <v>432</v>
      </c>
      <c r="I41" s="21"/>
      <c r="J41" s="488"/>
      <c r="K41" s="488"/>
      <c r="L41" s="488"/>
      <c r="M41" s="488"/>
      <c r="N41" s="488"/>
      <c r="O41" s="488"/>
      <c r="P41" s="488"/>
      <c r="Q41" s="488"/>
      <c r="R41" s="488"/>
      <c r="S41" s="488"/>
      <c r="T41" s="488"/>
      <c r="U41" s="488"/>
      <c r="V41" s="488"/>
      <c r="W41" s="488"/>
      <c r="X41" s="21"/>
      <c r="Y41" s="21"/>
      <c r="Z41" s="21"/>
      <c r="AA41" s="21"/>
    </row>
    <row r="42" spans="1:27" x14ac:dyDescent="0.25">
      <c r="A42" s="554" t="s">
        <v>177</v>
      </c>
      <c r="B42" s="434">
        <f>O44*43560</f>
        <v>0</v>
      </c>
      <c r="C42" s="294" t="s">
        <v>172</v>
      </c>
      <c r="D42" s="617">
        <v>0.78</v>
      </c>
      <c r="E42" s="295">
        <f>'Facility Site Specific Info.'!$D$13</f>
        <v>0</v>
      </c>
      <c r="F42" s="421">
        <f>E42*D42*B42</f>
        <v>0</v>
      </c>
      <c r="G42" s="401"/>
      <c r="H42" s="204" t="s">
        <v>442</v>
      </c>
      <c r="I42" s="21"/>
      <c r="J42" s="488"/>
      <c r="K42" s="488"/>
      <c r="L42" s="488"/>
      <c r="M42" s="488"/>
      <c r="N42" s="488"/>
      <c r="O42" s="488"/>
      <c r="P42" s="488"/>
      <c r="Q42" s="488"/>
      <c r="R42" s="488"/>
      <c r="S42" s="488"/>
      <c r="T42" s="488"/>
      <c r="U42" s="488"/>
      <c r="V42" s="488"/>
      <c r="W42" s="488"/>
      <c r="X42" s="21"/>
      <c r="Y42" s="21"/>
      <c r="Z42" s="21"/>
      <c r="AA42" s="21"/>
    </row>
    <row r="43" spans="1:27" x14ac:dyDescent="0.25">
      <c r="A43" s="555" t="s">
        <v>178</v>
      </c>
      <c r="B43" s="435"/>
      <c r="C43" s="216"/>
      <c r="D43" s="217"/>
      <c r="E43" s="218"/>
      <c r="F43" s="383"/>
      <c r="G43" s="401"/>
      <c r="H43" s="204"/>
      <c r="I43" s="21"/>
      <c r="J43" s="683" t="s">
        <v>305</v>
      </c>
      <c r="K43" s="683" t="s">
        <v>306</v>
      </c>
      <c r="L43" s="683" t="s">
        <v>307</v>
      </c>
      <c r="M43" s="683" t="s">
        <v>310</v>
      </c>
      <c r="N43" s="682" t="s">
        <v>311</v>
      </c>
      <c r="O43" s="682" t="s">
        <v>312</v>
      </c>
      <c r="P43" s="488"/>
      <c r="Q43" s="488"/>
      <c r="R43" s="488"/>
      <c r="S43" s="488"/>
      <c r="T43" s="488"/>
      <c r="U43" s="488"/>
      <c r="V43" s="488"/>
      <c r="W43" s="488"/>
      <c r="X43" s="21"/>
      <c r="Y43" s="21"/>
      <c r="Z43" s="21"/>
      <c r="AA43" s="21"/>
    </row>
    <row r="44" spans="1:27" x14ac:dyDescent="0.25">
      <c r="A44" s="554" t="s">
        <v>175</v>
      </c>
      <c r="B44" s="433">
        <f>IF('Facility Site Specific Info.'!C23="Both",N44,(IF('Facility Site Specific Info.'!C23="Hydroseed",N44+O44,0)))</f>
        <v>0</v>
      </c>
      <c r="C44" s="290" t="s">
        <v>7</v>
      </c>
      <c r="D44" s="618">
        <f>93.5*43.56</f>
        <v>4072.86</v>
      </c>
      <c r="E44" s="291">
        <f>'Facility Site Specific Info.'!$D$13</f>
        <v>0</v>
      </c>
      <c r="F44" s="419">
        <f>E44*D44*B44</f>
        <v>0</v>
      </c>
      <c r="G44" s="401" t="s">
        <v>5</v>
      </c>
      <c r="H44" s="204" t="s">
        <v>402</v>
      </c>
      <c r="I44" s="21"/>
      <c r="J44" s="683">
        <f>SQRT(B8*43560)</f>
        <v>0</v>
      </c>
      <c r="K44" s="683">
        <f>J44-(L44*3)</f>
        <v>0</v>
      </c>
      <c r="L44" s="683">
        <f>B10</f>
        <v>0</v>
      </c>
      <c r="M44" s="683">
        <f>(J44-K44)/2</f>
        <v>0</v>
      </c>
      <c r="N44" s="682">
        <f>((SQRT(L44^2+M44^2)*((J44+K44)/2)))*4/43560</f>
        <v>0</v>
      </c>
      <c r="O44" s="682">
        <f>K44^2/43560</f>
        <v>0</v>
      </c>
      <c r="P44" s="488"/>
      <c r="Q44" s="488"/>
      <c r="R44" s="488"/>
      <c r="S44" s="488"/>
      <c r="T44" s="488"/>
      <c r="U44" s="488"/>
      <c r="V44" s="488"/>
      <c r="W44" s="488"/>
      <c r="X44" s="21"/>
      <c r="Y44" s="21"/>
      <c r="Z44" s="21"/>
      <c r="AA44" s="21"/>
    </row>
    <row r="45" spans="1:27" x14ac:dyDescent="0.25">
      <c r="A45" s="554" t="s">
        <v>176</v>
      </c>
      <c r="B45" s="436">
        <f>IF('Facility Site Specific Info.'!C23="Both",O44,(IF('Facility Site Specific Info.'!C23="grass seed",N44+O44,0)))</f>
        <v>0</v>
      </c>
      <c r="C45" s="292" t="s">
        <v>7</v>
      </c>
      <c r="D45" s="615">
        <f>40*43.56</f>
        <v>1742.4</v>
      </c>
      <c r="E45" s="293">
        <f>'Facility Site Specific Info.'!$D$13</f>
        <v>0</v>
      </c>
      <c r="F45" s="420">
        <f t="shared" ref="F45:F46" si="1">E45*D45*B45</f>
        <v>0</v>
      </c>
      <c r="G45" s="401"/>
      <c r="H45" s="204" t="s">
        <v>403</v>
      </c>
      <c r="I45" s="21"/>
      <c r="J45" s="488"/>
      <c r="K45" s="488"/>
      <c r="L45" s="488"/>
      <c r="M45" s="488"/>
      <c r="N45" s="488"/>
      <c r="O45" s="488"/>
      <c r="P45" s="488"/>
      <c r="Q45" s="488"/>
      <c r="R45" s="488"/>
      <c r="S45" s="488"/>
      <c r="T45" s="488"/>
      <c r="U45" s="488"/>
      <c r="V45" s="488"/>
      <c r="W45" s="488"/>
      <c r="X45" s="21"/>
      <c r="Y45" s="21"/>
      <c r="Z45" s="21"/>
      <c r="AA45" s="21"/>
    </row>
    <row r="46" spans="1:27" x14ac:dyDescent="0.25">
      <c r="A46" s="558" t="s">
        <v>56</v>
      </c>
      <c r="B46" s="434">
        <f>B8*IF('Facility Site Specific Info.'!C22="Grass",1,0)</f>
        <v>0</v>
      </c>
      <c r="C46" s="294" t="s">
        <v>46</v>
      </c>
      <c r="D46" s="613">
        <v>330</v>
      </c>
      <c r="E46" s="295">
        <f>'Facility Site Specific Info.'!$D$13</f>
        <v>0</v>
      </c>
      <c r="F46" s="421">
        <f t="shared" si="1"/>
        <v>0</v>
      </c>
      <c r="G46" s="401"/>
      <c r="H46" s="204" t="s">
        <v>404</v>
      </c>
      <c r="I46" s="21"/>
      <c r="J46" s="488"/>
      <c r="K46" s="488"/>
      <c r="L46" s="488"/>
      <c r="M46" s="488"/>
      <c r="N46" s="488"/>
      <c r="O46" s="488"/>
      <c r="P46" s="488"/>
      <c r="Q46" s="488"/>
      <c r="R46" s="488"/>
      <c r="S46" s="488"/>
      <c r="T46" s="488"/>
      <c r="U46" s="488"/>
      <c r="V46" s="488"/>
      <c r="W46" s="488"/>
      <c r="X46" s="21"/>
      <c r="Y46" s="21"/>
      <c r="Z46" s="21"/>
      <c r="AA46" s="21"/>
    </row>
    <row r="47" spans="1:27" ht="15.75" thickBot="1" x14ac:dyDescent="0.3">
      <c r="A47" s="560" t="s">
        <v>57</v>
      </c>
      <c r="B47" s="439"/>
      <c r="C47" s="240"/>
      <c r="D47" s="222"/>
      <c r="E47" s="223"/>
      <c r="F47" s="422"/>
      <c r="G47" s="374">
        <f>SUM(F36:F46)*(IF('Facility Site Specific Info.'!C16="Yes",1,0))</f>
        <v>0</v>
      </c>
      <c r="H47" s="205"/>
      <c r="I47" s="21"/>
      <c r="J47" s="488"/>
      <c r="K47" s="488"/>
      <c r="L47" s="488"/>
      <c r="M47" s="488"/>
      <c r="N47" s="488"/>
      <c r="O47" s="488"/>
      <c r="P47" s="488"/>
      <c r="Q47" s="488"/>
      <c r="R47" s="488"/>
      <c r="S47" s="488"/>
      <c r="T47" s="488"/>
      <c r="U47" s="488"/>
      <c r="V47" s="488"/>
      <c r="W47" s="488"/>
      <c r="X47" s="21"/>
      <c r="Y47" s="21"/>
      <c r="Z47" s="21"/>
      <c r="AA47" s="21"/>
    </row>
    <row r="48" spans="1:27" ht="20.100000000000001" customHeight="1" x14ac:dyDescent="0.35">
      <c r="A48" s="566" t="s">
        <v>58</v>
      </c>
      <c r="B48" s="440"/>
      <c r="C48" s="232"/>
      <c r="D48" s="423"/>
      <c r="E48" s="231"/>
      <c r="F48" s="423"/>
      <c r="G48" s="404"/>
      <c r="H48" s="208"/>
      <c r="I48" s="21"/>
      <c r="J48" s="488"/>
      <c r="K48" s="488"/>
      <c r="L48" s="488"/>
      <c r="M48" s="488"/>
      <c r="N48" s="488"/>
      <c r="O48" s="488"/>
      <c r="P48" s="488"/>
      <c r="Q48" s="488"/>
      <c r="R48" s="488"/>
      <c r="S48" s="488"/>
      <c r="T48" s="488"/>
      <c r="U48" s="488"/>
      <c r="V48" s="488"/>
      <c r="W48" s="488"/>
      <c r="X48" s="21"/>
      <c r="Y48" s="21"/>
      <c r="Z48" s="21"/>
      <c r="AA48" s="21"/>
    </row>
    <row r="49" spans="1:30" x14ac:dyDescent="0.25">
      <c r="A49" s="567" t="s">
        <v>59</v>
      </c>
      <c r="B49" s="441"/>
      <c r="C49" s="241"/>
      <c r="D49" s="225"/>
      <c r="E49" s="226"/>
      <c r="F49" s="424"/>
      <c r="G49" s="405"/>
      <c r="H49" s="625"/>
      <c r="I49" s="21"/>
      <c r="J49" s="488"/>
      <c r="K49" s="488"/>
      <c r="L49" s="488"/>
      <c r="M49" s="488"/>
      <c r="N49" s="488"/>
      <c r="O49" s="488"/>
      <c r="P49" s="488"/>
      <c r="Q49" s="488"/>
      <c r="R49" s="488"/>
      <c r="S49" s="488"/>
      <c r="T49" s="488"/>
      <c r="U49" s="488"/>
      <c r="V49" s="488"/>
      <c r="W49" s="488"/>
      <c r="X49" s="21"/>
      <c r="Y49" s="21"/>
      <c r="Z49" s="21"/>
      <c r="AA49" s="21"/>
    </row>
    <row r="50" spans="1:30" x14ac:dyDescent="0.25">
      <c r="A50" s="568" t="s">
        <v>60</v>
      </c>
      <c r="B50" s="442">
        <f>IF('Facility Site Specific Info.'!C29="No",1,0)*B9</f>
        <v>0</v>
      </c>
      <c r="C50" s="242" t="s">
        <v>61</v>
      </c>
      <c r="D50" s="619">
        <v>3000</v>
      </c>
      <c r="E50" s="297">
        <f>'Facility Site Specific Info.'!$D$13</f>
        <v>0</v>
      </c>
      <c r="F50" s="425">
        <f>B50*D50*E50</f>
        <v>0</v>
      </c>
      <c r="G50" s="405"/>
      <c r="H50" s="204" t="s">
        <v>432</v>
      </c>
      <c r="I50" s="21"/>
      <c r="J50" s="488"/>
      <c r="K50" s="488"/>
      <c r="L50" s="488"/>
      <c r="M50" s="488"/>
      <c r="N50" s="488"/>
      <c r="O50" s="488"/>
      <c r="P50" s="488"/>
      <c r="Q50" s="488"/>
      <c r="R50" s="488"/>
      <c r="S50" s="488"/>
      <c r="T50" s="21"/>
      <c r="U50" s="21"/>
      <c r="V50" s="21"/>
      <c r="W50" s="21"/>
      <c r="X50" s="21"/>
      <c r="Y50" s="21"/>
      <c r="Z50" s="21"/>
      <c r="AA50" s="21"/>
    </row>
    <row r="51" spans="1:30" x14ac:dyDescent="0.25">
      <c r="A51" s="569" t="s">
        <v>62</v>
      </c>
      <c r="B51" s="441"/>
      <c r="C51" s="241"/>
      <c r="D51" s="225"/>
      <c r="E51" s="226"/>
      <c r="F51" s="424"/>
      <c r="G51" s="405"/>
      <c r="H51" s="625"/>
      <c r="I51" s="21"/>
      <c r="J51" s="488"/>
      <c r="K51" s="488"/>
      <c r="L51" s="488"/>
      <c r="M51" s="488"/>
      <c r="N51" s="488"/>
      <c r="O51" s="488"/>
      <c r="P51" s="488"/>
      <c r="Q51" s="488"/>
      <c r="R51" s="488"/>
      <c r="S51" s="488"/>
      <c r="T51" s="21"/>
      <c r="U51" s="21"/>
      <c r="V51" s="21"/>
      <c r="W51" s="21"/>
      <c r="X51" s="21"/>
      <c r="Y51" s="21"/>
      <c r="Z51" s="21"/>
      <c r="AA51" s="21"/>
    </row>
    <row r="52" spans="1:30" x14ac:dyDescent="0.25">
      <c r="A52" s="570" t="s">
        <v>179</v>
      </c>
      <c r="B52" s="443">
        <f>'Facility Site Specific Info.'!C30</f>
        <v>0</v>
      </c>
      <c r="C52" s="212" t="s">
        <v>8</v>
      </c>
      <c r="D52" s="620">
        <v>18000</v>
      </c>
      <c r="E52" s="291">
        <f>'Facility Site Specific Info.'!$D$13</f>
        <v>0</v>
      </c>
      <c r="F52" s="426">
        <f>B52*D52*E52</f>
        <v>0</v>
      </c>
      <c r="G52" s="401"/>
      <c r="H52" s="204" t="s">
        <v>432</v>
      </c>
      <c r="I52" s="21"/>
      <c r="J52" s="488"/>
      <c r="K52" s="488"/>
      <c r="L52" s="488"/>
      <c r="M52" s="488"/>
      <c r="N52" s="488"/>
      <c r="O52" s="488"/>
      <c r="P52" s="488"/>
      <c r="Q52" s="488"/>
      <c r="R52" s="488"/>
      <c r="S52" s="488"/>
      <c r="T52" s="21"/>
      <c r="U52" s="21"/>
      <c r="V52" s="21"/>
      <c r="W52" s="21"/>
      <c r="X52" s="21"/>
      <c r="Y52" s="21"/>
      <c r="Z52" s="21"/>
      <c r="AA52" s="21"/>
    </row>
    <row r="53" spans="1:30" ht="15.75" thickBot="1" x14ac:dyDescent="0.3">
      <c r="A53" s="571" t="s">
        <v>63</v>
      </c>
      <c r="B53" s="439"/>
      <c r="C53" s="257"/>
      <c r="D53" s="250"/>
      <c r="E53" s="251"/>
      <c r="F53" s="427"/>
      <c r="G53" s="406">
        <f>SUM(F49:F52)*(IF('Facility Site Specific Info.'!C16="Yes",1,0))</f>
        <v>0</v>
      </c>
      <c r="H53" s="626"/>
      <c r="I53" s="21"/>
      <c r="J53" s="488"/>
      <c r="K53" s="488"/>
      <c r="L53" s="488"/>
      <c r="M53" s="488"/>
      <c r="N53" s="488"/>
      <c r="O53" s="488"/>
      <c r="P53" s="488"/>
      <c r="Q53" s="488"/>
      <c r="R53" s="488"/>
      <c r="S53" s="488"/>
      <c r="T53" s="21"/>
      <c r="U53" s="21"/>
      <c r="V53" s="21"/>
      <c r="W53" s="21"/>
      <c r="X53" s="21"/>
      <c r="Y53" s="21"/>
      <c r="Z53" s="21"/>
      <c r="AA53" s="21"/>
    </row>
    <row r="54" spans="1:30" ht="21.75" thickBot="1" x14ac:dyDescent="0.4">
      <c r="A54" s="748" t="s">
        <v>64</v>
      </c>
      <c r="B54" s="749"/>
      <c r="C54" s="749"/>
      <c r="D54" s="749"/>
      <c r="E54" s="749"/>
      <c r="F54" s="749"/>
      <c r="G54" s="380" t="e">
        <f>(G53+G47+G33+G25)*(IF('Facility Site Specific Info.'!C16="Yes",1,0))</f>
        <v>#VALUE!</v>
      </c>
      <c r="H54" s="249"/>
      <c r="I54" s="21"/>
      <c r="J54" s="488"/>
      <c r="K54" s="488"/>
      <c r="L54" s="488"/>
      <c r="M54" s="488"/>
      <c r="N54" s="488"/>
      <c r="O54" s="488"/>
      <c r="P54" s="488"/>
      <c r="Q54" s="488"/>
      <c r="R54" s="488"/>
      <c r="S54" s="488"/>
      <c r="T54" s="21"/>
      <c r="U54" s="21"/>
      <c r="V54" s="21"/>
      <c r="W54" s="21"/>
      <c r="X54" s="21"/>
      <c r="Y54" s="21"/>
      <c r="Z54" s="21"/>
      <c r="AA54" s="21"/>
    </row>
    <row r="55" spans="1:30" ht="20.100000000000001" customHeight="1" x14ac:dyDescent="0.35">
      <c r="A55" s="561" t="s">
        <v>65</v>
      </c>
      <c r="B55" s="252"/>
      <c r="C55" s="252"/>
      <c r="D55" s="234"/>
      <c r="E55" s="235"/>
      <c r="F55" s="234"/>
      <c r="G55" s="234"/>
      <c r="H55" s="209"/>
      <c r="I55" s="21"/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21"/>
      <c r="U55" s="21"/>
      <c r="V55" s="21"/>
      <c r="W55" s="21"/>
      <c r="X55" s="21"/>
      <c r="Y55" s="21"/>
      <c r="Z55" s="21"/>
      <c r="AA55" s="21"/>
    </row>
    <row r="56" spans="1:30" x14ac:dyDescent="0.25">
      <c r="A56" s="572" t="s">
        <v>66</v>
      </c>
      <c r="B56" s="236">
        <f>1*IF('Facility Site Specific Info.'!C17="No",1,0)</f>
        <v>0</v>
      </c>
      <c r="C56" s="253" t="s">
        <v>167</v>
      </c>
      <c r="D56" s="621">
        <v>0.1</v>
      </c>
      <c r="E56" s="237"/>
      <c r="F56" s="428" t="e">
        <f>G54*0.1</f>
        <v>#VALUE!</v>
      </c>
      <c r="G56" s="384"/>
      <c r="H56" s="210"/>
      <c r="I56" s="21"/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21"/>
      <c r="U56" s="21"/>
      <c r="V56" s="21"/>
      <c r="W56" s="21"/>
      <c r="X56" s="21"/>
      <c r="Y56" s="21"/>
      <c r="Z56" s="21"/>
      <c r="AA56" s="21"/>
    </row>
    <row r="57" spans="1:30" ht="15.75" thickBot="1" x14ac:dyDescent="0.3">
      <c r="A57" s="560" t="s">
        <v>70</v>
      </c>
      <c r="B57" s="239"/>
      <c r="C57" s="239"/>
      <c r="D57" s="219"/>
      <c r="E57" s="246"/>
      <c r="F57" s="384"/>
      <c r="G57" s="407" t="e">
        <f>SUM(F56:F56)*(IF('Facility Site Specific Info.'!C16="Yes",1,0))</f>
        <v>#VALUE!</v>
      </c>
      <c r="H57" s="205"/>
      <c r="I57" s="21"/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21"/>
      <c r="U57" s="21"/>
      <c r="V57" s="21"/>
      <c r="W57" s="21"/>
      <c r="X57" s="21"/>
      <c r="Y57" s="21"/>
      <c r="Z57" s="21"/>
      <c r="AA57" s="21"/>
    </row>
    <row r="58" spans="1:30" ht="20.100000000000001" customHeight="1" x14ac:dyDescent="0.3">
      <c r="A58" s="573" t="s">
        <v>71</v>
      </c>
      <c r="B58" s="254"/>
      <c r="C58" s="254"/>
      <c r="D58" s="429"/>
      <c r="E58" s="243"/>
      <c r="F58" s="429"/>
      <c r="G58" s="408"/>
      <c r="H58" s="627"/>
      <c r="I58" s="21"/>
      <c r="J58" s="488"/>
      <c r="K58" s="488"/>
      <c r="L58" s="488"/>
      <c r="M58" s="488"/>
      <c r="N58" s="488"/>
      <c r="O58" s="488"/>
      <c r="P58" s="488"/>
      <c r="Q58" s="488"/>
      <c r="R58" s="488"/>
      <c r="S58" s="488"/>
      <c r="T58" s="21"/>
      <c r="U58" s="21"/>
      <c r="V58" s="21"/>
      <c r="W58" s="21"/>
      <c r="X58" s="21"/>
      <c r="Y58" s="21"/>
      <c r="Z58" s="21"/>
      <c r="AA58" s="21"/>
    </row>
    <row r="59" spans="1:30" x14ac:dyDescent="0.25">
      <c r="A59" s="574" t="s">
        <v>72</v>
      </c>
      <c r="B59" s="255">
        <f>IF('Facility Site Specific Info.'!C16="Yes",1,0)</f>
        <v>0</v>
      </c>
      <c r="C59" s="255" t="s">
        <v>167</v>
      </c>
      <c r="D59" s="622">
        <v>0.05</v>
      </c>
      <c r="E59" s="244"/>
      <c r="F59" s="368" t="e">
        <f>G54*0.05</f>
        <v>#VALUE!</v>
      </c>
      <c r="G59" s="384" t="s">
        <v>5</v>
      </c>
      <c r="H59" s="210"/>
      <c r="I59" s="21"/>
      <c r="J59" s="488"/>
      <c r="K59" s="488"/>
      <c r="L59" s="488"/>
      <c r="M59" s="488"/>
      <c r="N59" s="488"/>
      <c r="O59" s="488"/>
      <c r="P59" s="488"/>
      <c r="Q59" s="488"/>
      <c r="R59" s="488"/>
      <c r="S59" s="488"/>
      <c r="T59" s="21"/>
      <c r="U59" s="21"/>
      <c r="V59" s="21"/>
      <c r="W59" s="21"/>
      <c r="X59" s="21"/>
      <c r="Y59" s="21"/>
      <c r="Z59" s="21"/>
      <c r="AA59" s="21"/>
    </row>
    <row r="60" spans="1:30" x14ac:dyDescent="0.25">
      <c r="A60" s="574" t="s">
        <v>73</v>
      </c>
      <c r="B60" s="256">
        <f>IF('Facility Site Specific Info.'!C16="Yes",1,0)</f>
        <v>0</v>
      </c>
      <c r="C60" s="256" t="s">
        <v>167</v>
      </c>
      <c r="D60" s="623">
        <v>0.1</v>
      </c>
      <c r="E60" s="245"/>
      <c r="F60" s="369" t="e">
        <f>G54*0.1</f>
        <v>#VALUE!</v>
      </c>
      <c r="G60" s="384" t="s">
        <v>5</v>
      </c>
      <c r="H60" s="210"/>
      <c r="I60" s="21"/>
      <c r="J60" s="488"/>
      <c r="K60" s="488"/>
      <c r="L60" s="488"/>
      <c r="M60" s="488"/>
      <c r="N60" s="488"/>
      <c r="O60" s="488"/>
      <c r="P60" s="488"/>
      <c r="Q60" s="488"/>
      <c r="R60" s="488"/>
      <c r="S60" s="488"/>
      <c r="T60" s="21"/>
      <c r="U60" s="21"/>
      <c r="V60" s="21"/>
      <c r="W60" s="21"/>
      <c r="X60" s="21"/>
      <c r="Y60" s="21"/>
      <c r="Z60" s="21"/>
      <c r="AA60" s="21"/>
    </row>
    <row r="61" spans="1:30" ht="15.75" thickBot="1" x14ac:dyDescent="0.3">
      <c r="A61" s="575" t="s">
        <v>74</v>
      </c>
      <c r="B61" s="240"/>
      <c r="C61" s="221"/>
      <c r="D61" s="222"/>
      <c r="E61" s="248"/>
      <c r="F61" s="224"/>
      <c r="G61" s="409" t="e">
        <f>SUM(F59:F60)*(IF('Facility Site Specific Info.'!C16="Yes",1,0))</f>
        <v>#VALUE!</v>
      </c>
      <c r="H61" s="205"/>
      <c r="I61" s="21"/>
      <c r="J61" s="488"/>
      <c r="K61" s="488"/>
      <c r="L61" s="488"/>
      <c r="M61" s="488"/>
      <c r="N61" s="488"/>
      <c r="O61" s="488"/>
      <c r="P61" s="488"/>
      <c r="Q61" s="488"/>
      <c r="R61" s="488"/>
      <c r="S61" s="488"/>
      <c r="T61" s="21"/>
      <c r="U61" s="21"/>
      <c r="V61" s="21"/>
      <c r="W61" s="21"/>
      <c r="X61" s="21"/>
      <c r="Y61" s="21"/>
      <c r="Z61" s="21"/>
      <c r="AA61" s="21"/>
    </row>
    <row r="62" spans="1:30" ht="21.75" thickBot="1" x14ac:dyDescent="0.4">
      <c r="A62" s="750" t="s">
        <v>75</v>
      </c>
      <c r="B62" s="751"/>
      <c r="C62" s="751"/>
      <c r="D62" s="751"/>
      <c r="E62" s="751"/>
      <c r="F62" s="751"/>
      <c r="G62" s="410">
        <f>(IF('Facility Site Specific Info.'!C16="Yes",(G54+G57+G61),0))</f>
        <v>0</v>
      </c>
      <c r="H62" s="606"/>
      <c r="I62" s="21"/>
      <c r="J62" s="488"/>
      <c r="K62" s="488"/>
      <c r="L62" s="488"/>
      <c r="M62" s="488"/>
      <c r="N62" s="488"/>
      <c r="O62" s="488"/>
      <c r="P62" s="488"/>
      <c r="Q62" s="488"/>
      <c r="R62" s="488"/>
      <c r="S62" s="488"/>
      <c r="T62" s="21"/>
      <c r="U62" s="21"/>
      <c r="V62" s="21"/>
      <c r="W62" s="21"/>
      <c r="X62" s="21"/>
      <c r="Y62" s="21"/>
      <c r="Z62" s="21"/>
      <c r="AA62" s="21"/>
    </row>
    <row r="63" spans="1:30" ht="24" thickTop="1" x14ac:dyDescent="0.35">
      <c r="A63" s="747"/>
      <c r="B63" s="747"/>
      <c r="C63" s="747"/>
      <c r="D63" s="747"/>
      <c r="E63" s="747"/>
      <c r="F63" s="747"/>
      <c r="G63" s="25"/>
      <c r="H63" s="26"/>
      <c r="I63" s="21"/>
      <c r="J63" s="488"/>
      <c r="K63" s="488"/>
      <c r="L63" s="488"/>
      <c r="M63" s="488"/>
      <c r="N63" s="488"/>
      <c r="O63" s="488"/>
      <c r="P63" s="488"/>
      <c r="Q63" s="488"/>
      <c r="R63" s="488"/>
      <c r="S63" s="488"/>
      <c r="T63" s="21"/>
      <c r="U63" s="21"/>
      <c r="V63" s="21"/>
      <c r="W63" s="21"/>
      <c r="X63" s="21"/>
      <c r="Y63" s="21"/>
      <c r="Z63" s="21"/>
      <c r="AA63" s="21"/>
    </row>
    <row r="64" spans="1:30" x14ac:dyDescent="0.25">
      <c r="A64" s="21"/>
      <c r="B64" s="21"/>
      <c r="C64" s="21"/>
      <c r="D64" s="77"/>
      <c r="E64" s="21"/>
      <c r="F64" s="21"/>
      <c r="G64" s="24"/>
      <c r="H64" s="21"/>
      <c r="I64" s="21"/>
      <c r="J64" s="488"/>
      <c r="K64" s="488"/>
      <c r="L64" s="488"/>
      <c r="M64" s="488"/>
      <c r="N64" s="488"/>
      <c r="O64" s="488"/>
      <c r="P64" s="488"/>
      <c r="Q64" s="488"/>
      <c r="R64" s="488"/>
      <c r="S64" s="48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1:30" x14ac:dyDescent="0.25">
      <c r="A65" s="21"/>
      <c r="B65" s="21"/>
      <c r="C65" s="21"/>
      <c r="D65" s="77"/>
      <c r="E65" s="21"/>
      <c r="F65" s="21"/>
      <c r="G65" s="21"/>
      <c r="H65" s="21"/>
      <c r="I65" s="21"/>
      <c r="J65" s="488"/>
      <c r="K65" s="488"/>
      <c r="L65" s="488"/>
      <c r="M65" s="488"/>
      <c r="N65" s="488"/>
      <c r="O65" s="488"/>
      <c r="P65" s="488"/>
      <c r="Q65" s="488"/>
      <c r="R65" s="488"/>
      <c r="S65" s="48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1:30" x14ac:dyDescent="0.25">
      <c r="A66" s="21"/>
      <c r="B66" s="21"/>
      <c r="C66" s="21"/>
      <c r="D66" s="77"/>
      <c r="E66" s="21"/>
      <c r="F66" s="21"/>
      <c r="G66" s="21"/>
      <c r="H66" s="21"/>
      <c r="I66" s="21"/>
      <c r="J66" s="488"/>
      <c r="K66" s="488"/>
      <c r="L66" s="488"/>
      <c r="M66" s="488"/>
      <c r="N66" s="488"/>
      <c r="O66" s="488"/>
      <c r="P66" s="488"/>
      <c r="Q66" s="488"/>
      <c r="R66" s="488"/>
      <c r="S66" s="48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1:30" x14ac:dyDescent="0.25">
      <c r="A67" s="21"/>
      <c r="B67" s="36"/>
      <c r="C67" s="549"/>
      <c r="D67" s="549"/>
      <c r="E67" s="550"/>
      <c r="F67" s="21"/>
      <c r="G67" s="21"/>
      <c r="H67" s="21"/>
      <c r="I67" s="21"/>
      <c r="J67" s="488"/>
      <c r="K67" s="488"/>
      <c r="L67" s="488"/>
      <c r="M67" s="488"/>
      <c r="N67" s="488"/>
      <c r="O67" s="488"/>
      <c r="P67" s="488"/>
      <c r="Q67" s="488"/>
      <c r="R67" s="488"/>
      <c r="S67" s="48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1:30" x14ac:dyDescent="0.25">
      <c r="A68" s="548"/>
      <c r="B68" s="549"/>
      <c r="C68" s="549"/>
      <c r="D68" s="550"/>
      <c r="E68" s="549"/>
      <c r="F68" s="21"/>
      <c r="G68" s="21"/>
      <c r="H68" s="21"/>
      <c r="I68" s="21"/>
      <c r="J68" s="488"/>
      <c r="K68" s="488"/>
      <c r="L68" s="488"/>
      <c r="M68" s="488"/>
      <c r="N68" s="488"/>
      <c r="O68" s="488"/>
      <c r="P68" s="488"/>
      <c r="Q68" s="488"/>
      <c r="R68" s="488"/>
      <c r="S68" s="48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30" x14ac:dyDescent="0.25">
      <c r="A69" s="548"/>
      <c r="B69" s="549"/>
      <c r="C69" s="549"/>
      <c r="D69" s="550"/>
      <c r="E69" s="549"/>
      <c r="F69" s="21"/>
      <c r="G69" s="21"/>
      <c r="H69" s="21"/>
      <c r="I69" s="21"/>
      <c r="J69" s="488"/>
      <c r="K69" s="488"/>
      <c r="L69" s="488"/>
      <c r="M69" s="488"/>
      <c r="N69" s="488"/>
      <c r="O69" s="488"/>
      <c r="P69" s="488"/>
      <c r="Q69" s="488"/>
      <c r="R69" s="488"/>
      <c r="S69" s="48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x14ac:dyDescent="0.25">
      <c r="A70" s="548"/>
      <c r="B70" s="549"/>
      <c r="C70" s="549"/>
      <c r="D70" s="550"/>
      <c r="E70" s="549"/>
      <c r="F70" s="21"/>
      <c r="G70" s="21"/>
      <c r="H70" s="21"/>
      <c r="I70" s="21"/>
      <c r="J70" s="488"/>
      <c r="K70" s="488"/>
      <c r="L70" s="488"/>
      <c r="M70" s="488"/>
      <c r="N70" s="488"/>
      <c r="O70" s="488"/>
      <c r="P70" s="488"/>
      <c r="Q70" s="488"/>
      <c r="R70" s="488"/>
      <c r="S70" s="48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1:30" x14ac:dyDescent="0.25">
      <c r="A71" s="548"/>
      <c r="B71" s="549"/>
      <c r="C71" s="549"/>
      <c r="D71" s="550"/>
      <c r="E71" s="549"/>
      <c r="F71" s="21"/>
      <c r="G71" s="21"/>
      <c r="H71" s="21"/>
      <c r="I71" s="21"/>
      <c r="J71" s="488"/>
      <c r="K71" s="488"/>
      <c r="L71" s="488"/>
      <c r="M71" s="488"/>
      <c r="N71" s="488"/>
      <c r="O71" s="488"/>
      <c r="P71" s="488"/>
      <c r="Q71" s="488"/>
      <c r="R71" s="488"/>
      <c r="S71" s="48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1:30" x14ac:dyDescent="0.25">
      <c r="A72" s="548"/>
      <c r="B72" s="549"/>
      <c r="C72" s="549"/>
      <c r="D72" s="550"/>
      <c r="E72" s="549"/>
      <c r="F72" s="21"/>
      <c r="G72" s="21"/>
      <c r="H72" s="21"/>
      <c r="I72" s="21"/>
      <c r="J72" s="488"/>
      <c r="K72" s="488"/>
      <c r="L72" s="488"/>
      <c r="M72" s="488"/>
      <c r="N72" s="488"/>
      <c r="O72" s="488"/>
      <c r="P72" s="488"/>
      <c r="Q72" s="488"/>
      <c r="R72" s="488"/>
      <c r="S72" s="48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1:30" x14ac:dyDescent="0.25">
      <c r="A73" s="548"/>
      <c r="B73" s="549"/>
      <c r="C73" s="549"/>
      <c r="D73" s="550"/>
      <c r="E73" s="549"/>
      <c r="F73" s="21"/>
      <c r="G73" s="21"/>
      <c r="H73" s="21"/>
      <c r="I73" s="21"/>
      <c r="J73" s="488"/>
      <c r="K73" s="488"/>
      <c r="L73" s="488"/>
      <c r="M73" s="488"/>
      <c r="N73" s="488"/>
      <c r="O73" s="488"/>
      <c r="P73" s="488"/>
      <c r="Q73" s="488"/>
      <c r="R73" s="488"/>
      <c r="S73" s="48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1:30" x14ac:dyDescent="0.25">
      <c r="A74" s="21"/>
      <c r="B74" s="21"/>
      <c r="C74" s="549"/>
      <c r="D74" s="550"/>
      <c r="E74" s="549"/>
      <c r="F74" s="21"/>
      <c r="G74" s="21"/>
      <c r="H74" s="21"/>
      <c r="I74" s="21"/>
      <c r="J74" s="488"/>
      <c r="K74" s="488"/>
      <c r="L74" s="488"/>
      <c r="M74" s="488"/>
      <c r="N74" s="488"/>
      <c r="O74" s="488"/>
      <c r="P74" s="488"/>
      <c r="Q74" s="488"/>
      <c r="R74" s="488"/>
      <c r="S74" s="48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1:30" x14ac:dyDescent="0.25">
      <c r="A75" s="21"/>
      <c r="B75" s="21"/>
      <c r="C75" s="21"/>
      <c r="D75" s="77"/>
      <c r="E75" s="21"/>
      <c r="F75" s="21"/>
      <c r="G75" s="21"/>
      <c r="H75" s="21"/>
      <c r="I75" s="21"/>
      <c r="J75" s="488"/>
      <c r="K75" s="488"/>
      <c r="L75" s="488"/>
      <c r="M75" s="488"/>
      <c r="N75" s="488"/>
      <c r="O75" s="488"/>
      <c r="P75" s="488"/>
      <c r="Q75" s="488"/>
      <c r="R75" s="488"/>
      <c r="S75" s="48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1:30" x14ac:dyDescent="0.25">
      <c r="A76" s="21"/>
      <c r="B76" s="21"/>
      <c r="C76" s="21"/>
      <c r="D76" s="77"/>
      <c r="E76" s="21"/>
      <c r="F76" s="21"/>
      <c r="G76" s="21"/>
      <c r="H76" s="21"/>
      <c r="I76" s="21"/>
      <c r="J76" s="488"/>
      <c r="K76" s="488"/>
      <c r="L76" s="488"/>
      <c r="M76" s="488"/>
      <c r="N76" s="488"/>
      <c r="O76" s="488"/>
      <c r="P76" s="488"/>
      <c r="Q76" s="488"/>
      <c r="R76" s="488"/>
      <c r="S76" s="488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1:30" x14ac:dyDescent="0.25">
      <c r="A77" s="21"/>
      <c r="B77" s="21"/>
      <c r="C77" s="21"/>
      <c r="D77" s="77"/>
      <c r="E77" s="21"/>
      <c r="F77" s="21"/>
      <c r="G77" s="21"/>
      <c r="H77" s="21"/>
      <c r="I77" s="21"/>
      <c r="J77" s="488"/>
      <c r="K77" s="488"/>
      <c r="L77" s="488"/>
      <c r="M77" s="488"/>
      <c r="N77" s="488"/>
      <c r="O77" s="488"/>
      <c r="P77" s="488"/>
      <c r="Q77" s="488"/>
      <c r="R77" s="488"/>
      <c r="S77" s="488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1:30" x14ac:dyDescent="0.25">
      <c r="A78" s="21"/>
      <c r="B78" s="21"/>
      <c r="C78" s="21"/>
      <c r="D78" s="77"/>
      <c r="E78" s="21"/>
      <c r="F78" s="21"/>
      <c r="G78" s="21"/>
      <c r="H78" s="21"/>
      <c r="I78" s="21"/>
      <c r="J78" s="488"/>
      <c r="K78" s="488"/>
      <c r="L78" s="488"/>
      <c r="M78" s="488"/>
      <c r="N78" s="488"/>
      <c r="O78" s="488"/>
      <c r="P78" s="488"/>
      <c r="Q78" s="488"/>
      <c r="R78" s="488"/>
      <c r="S78" s="488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1:30" x14ac:dyDescent="0.25">
      <c r="A79" s="21"/>
      <c r="B79" s="21"/>
      <c r="C79" s="21"/>
      <c r="D79" s="77"/>
      <c r="E79" s="21"/>
      <c r="F79" s="21"/>
      <c r="G79" s="21"/>
      <c r="H79" s="21"/>
      <c r="I79" s="21"/>
      <c r="J79" s="488"/>
      <c r="K79" s="488"/>
      <c r="L79" s="488"/>
      <c r="M79" s="488"/>
      <c r="N79" s="488"/>
      <c r="O79" s="488"/>
      <c r="P79" s="488"/>
      <c r="Q79" s="488"/>
      <c r="R79" s="488"/>
      <c r="S79" s="488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1:30" x14ac:dyDescent="0.25">
      <c r="A80" s="21"/>
      <c r="B80" s="21"/>
      <c r="C80" s="21"/>
      <c r="D80" s="77"/>
      <c r="E80" s="21"/>
      <c r="F80" s="21"/>
      <c r="G80" s="21"/>
      <c r="H80" s="21"/>
      <c r="I80" s="21"/>
      <c r="J80" s="488"/>
      <c r="K80" s="488"/>
      <c r="L80" s="488"/>
      <c r="M80" s="488"/>
      <c r="N80" s="488"/>
      <c r="O80" s="488"/>
      <c r="P80" s="488"/>
      <c r="Q80" s="488"/>
      <c r="R80" s="488"/>
      <c r="S80" s="488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1:30" x14ac:dyDescent="0.25">
      <c r="A81" s="21"/>
      <c r="B81" s="21"/>
      <c r="C81" s="21"/>
      <c r="D81" s="77"/>
      <c r="E81" s="21"/>
      <c r="F81" s="21"/>
      <c r="G81" s="21"/>
      <c r="H81" s="21"/>
      <c r="I81" s="21"/>
      <c r="J81" s="488"/>
      <c r="K81" s="488"/>
      <c r="L81" s="488"/>
      <c r="M81" s="488"/>
      <c r="N81" s="488"/>
      <c r="O81" s="488"/>
      <c r="P81" s="488"/>
      <c r="Q81" s="488"/>
      <c r="R81" s="488"/>
      <c r="S81" s="488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1:30" x14ac:dyDescent="0.25">
      <c r="A82" s="21"/>
      <c r="B82" s="21"/>
      <c r="C82" s="21"/>
      <c r="D82" s="77"/>
      <c r="E82" s="21"/>
      <c r="F82" s="21"/>
      <c r="G82" s="21"/>
      <c r="H82" s="21"/>
      <c r="I82" s="21"/>
      <c r="J82" s="488"/>
      <c r="K82" s="488"/>
      <c r="L82" s="488"/>
      <c r="M82" s="488"/>
      <c r="N82" s="488"/>
      <c r="O82" s="488"/>
      <c r="P82" s="488"/>
      <c r="Q82" s="488"/>
      <c r="R82" s="488"/>
      <c r="S82" s="488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1:30" x14ac:dyDescent="0.25">
      <c r="A83" s="21"/>
      <c r="B83" s="21"/>
      <c r="C83" s="21"/>
      <c r="D83" s="77"/>
      <c r="E83" s="21"/>
      <c r="F83" s="21"/>
      <c r="G83" s="21"/>
      <c r="H83" s="21"/>
      <c r="I83" s="21"/>
      <c r="J83" s="488"/>
      <c r="K83" s="488"/>
      <c r="L83" s="488"/>
      <c r="M83" s="488"/>
      <c r="N83" s="488"/>
      <c r="O83" s="488"/>
      <c r="P83" s="488"/>
      <c r="Q83" s="488"/>
      <c r="R83" s="488"/>
      <c r="S83" s="488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1:30" x14ac:dyDescent="0.25">
      <c r="A84" s="21"/>
      <c r="B84" s="21"/>
      <c r="C84" s="21"/>
      <c r="D84" s="77"/>
      <c r="E84" s="21"/>
      <c r="F84" s="21"/>
      <c r="G84" s="21"/>
      <c r="H84" s="21"/>
      <c r="I84" s="21"/>
      <c r="J84" s="488"/>
      <c r="K84" s="488"/>
      <c r="L84" s="488"/>
      <c r="M84" s="488"/>
      <c r="N84" s="488"/>
      <c r="O84" s="488"/>
      <c r="P84" s="488"/>
      <c r="Q84" s="488"/>
      <c r="R84" s="488"/>
      <c r="S84" s="488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1:30" x14ac:dyDescent="0.25">
      <c r="A85" s="21"/>
      <c r="B85" s="21"/>
      <c r="C85" s="21"/>
      <c r="D85" s="77"/>
      <c r="E85" s="21"/>
      <c r="F85" s="21"/>
      <c r="G85" s="21"/>
      <c r="H85" s="21"/>
      <c r="I85" s="21"/>
      <c r="J85" s="488"/>
      <c r="K85" s="488"/>
      <c r="L85" s="488"/>
      <c r="M85" s="488"/>
      <c r="N85" s="488"/>
      <c r="O85" s="488"/>
      <c r="P85" s="488"/>
      <c r="Q85" s="488"/>
      <c r="R85" s="488"/>
      <c r="S85" s="488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1:30" x14ac:dyDescent="0.25">
      <c r="A86" s="21"/>
      <c r="B86" s="21"/>
      <c r="C86" s="21"/>
      <c r="D86" s="77"/>
      <c r="E86" s="21"/>
      <c r="F86" s="21"/>
      <c r="G86" s="21"/>
      <c r="H86" s="21"/>
      <c r="I86" s="21"/>
      <c r="J86" s="488"/>
      <c r="K86" s="488"/>
      <c r="L86" s="488"/>
      <c r="M86" s="488"/>
      <c r="N86" s="488"/>
      <c r="O86" s="488"/>
      <c r="P86" s="488"/>
      <c r="Q86" s="488"/>
      <c r="R86" s="488"/>
      <c r="S86" s="488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1:30" x14ac:dyDescent="0.25">
      <c r="A87" s="21"/>
      <c r="B87" s="21"/>
      <c r="C87" s="21"/>
      <c r="D87" s="77"/>
      <c r="E87" s="21"/>
      <c r="F87" s="21"/>
      <c r="G87" s="21"/>
      <c r="H87" s="21"/>
      <c r="I87" s="21"/>
      <c r="J87" s="488"/>
      <c r="K87" s="488"/>
      <c r="L87" s="488"/>
      <c r="M87" s="488"/>
      <c r="N87" s="488"/>
      <c r="O87" s="488"/>
      <c r="P87" s="488"/>
      <c r="Q87" s="488"/>
      <c r="R87" s="488"/>
      <c r="S87" s="488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1:30" x14ac:dyDescent="0.25">
      <c r="A88" s="21"/>
      <c r="B88" s="21"/>
      <c r="C88" s="21"/>
      <c r="D88" s="77"/>
      <c r="E88" s="21"/>
      <c r="F88" s="21"/>
      <c r="G88" s="21"/>
      <c r="H88" s="21"/>
      <c r="I88" s="21"/>
      <c r="J88" s="488"/>
      <c r="K88" s="488"/>
      <c r="L88" s="488"/>
      <c r="M88" s="488"/>
      <c r="N88" s="488"/>
      <c r="O88" s="488"/>
      <c r="P88" s="488"/>
      <c r="Q88" s="488"/>
      <c r="R88" s="488"/>
      <c r="S88" s="488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1:30" x14ac:dyDescent="0.25">
      <c r="A89" s="21"/>
      <c r="B89" s="21"/>
      <c r="C89" s="21"/>
      <c r="D89" s="77"/>
      <c r="E89" s="21"/>
      <c r="F89" s="21"/>
      <c r="G89" s="21"/>
      <c r="H89" s="21"/>
      <c r="I89" s="21"/>
      <c r="J89" s="488"/>
      <c r="K89" s="488"/>
      <c r="L89" s="488"/>
      <c r="M89" s="488"/>
      <c r="N89" s="488"/>
      <c r="O89" s="488"/>
      <c r="P89" s="488"/>
      <c r="Q89" s="488"/>
      <c r="R89" s="488"/>
      <c r="S89" s="488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1:30" x14ac:dyDescent="0.25">
      <c r="A90" s="21"/>
      <c r="B90" s="21"/>
      <c r="C90" s="21"/>
      <c r="D90" s="77"/>
      <c r="E90" s="21"/>
      <c r="F90" s="21"/>
      <c r="G90" s="21"/>
      <c r="H90" s="21"/>
      <c r="I90" s="21"/>
      <c r="J90" s="488"/>
      <c r="K90" s="488"/>
      <c r="L90" s="488"/>
      <c r="M90" s="488"/>
      <c r="N90" s="488"/>
      <c r="O90" s="488"/>
      <c r="P90" s="488"/>
      <c r="Q90" s="488"/>
      <c r="R90" s="488"/>
      <c r="S90" s="488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1:30" x14ac:dyDescent="0.25">
      <c r="A91" s="21"/>
      <c r="B91" s="21"/>
      <c r="C91" s="21"/>
      <c r="D91" s="77"/>
      <c r="E91" s="21"/>
      <c r="F91" s="21"/>
      <c r="G91" s="21"/>
      <c r="H91" s="21"/>
      <c r="I91" s="21"/>
      <c r="J91" s="488"/>
      <c r="K91" s="488"/>
      <c r="L91" s="488"/>
      <c r="M91" s="488"/>
      <c r="N91" s="488"/>
      <c r="O91" s="488"/>
      <c r="P91" s="488"/>
      <c r="Q91" s="488"/>
      <c r="R91" s="488"/>
      <c r="S91" s="488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1:30" x14ac:dyDescent="0.25">
      <c r="A92" s="21"/>
      <c r="B92" s="21"/>
      <c r="C92" s="21"/>
      <c r="D92" s="77"/>
      <c r="E92" s="21"/>
      <c r="F92" s="21"/>
      <c r="G92" s="21"/>
      <c r="H92" s="21"/>
      <c r="I92" s="21"/>
      <c r="J92" s="488"/>
      <c r="K92" s="488"/>
      <c r="L92" s="488"/>
      <c r="M92" s="488"/>
      <c r="N92" s="488"/>
      <c r="O92" s="488"/>
      <c r="P92" s="488"/>
      <c r="Q92" s="488"/>
      <c r="R92" s="488"/>
      <c r="S92" s="488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1:30" x14ac:dyDescent="0.25">
      <c r="A93" s="21"/>
      <c r="B93" s="21"/>
      <c r="C93" s="21"/>
      <c r="D93" s="77"/>
      <c r="E93" s="21"/>
      <c r="F93" s="21"/>
      <c r="G93" s="21"/>
      <c r="H93" s="21"/>
      <c r="I93" s="21"/>
      <c r="J93" s="488"/>
      <c r="K93" s="488"/>
      <c r="L93" s="488"/>
      <c r="M93" s="488"/>
      <c r="N93" s="488"/>
      <c r="O93" s="488"/>
      <c r="P93" s="488"/>
      <c r="Q93" s="488"/>
      <c r="R93" s="488"/>
      <c r="S93" s="488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1:30" x14ac:dyDescent="0.25">
      <c r="A94" s="21"/>
      <c r="B94" s="21"/>
      <c r="C94" s="21"/>
      <c r="D94" s="77"/>
      <c r="E94" s="21"/>
      <c r="F94" s="21"/>
      <c r="G94" s="21"/>
      <c r="H94" s="21"/>
      <c r="I94" s="21"/>
      <c r="J94" s="488"/>
      <c r="K94" s="488"/>
      <c r="L94" s="488"/>
      <c r="M94" s="488"/>
      <c r="N94" s="488"/>
      <c r="O94" s="488"/>
      <c r="P94" s="488"/>
      <c r="Q94" s="488"/>
      <c r="R94" s="488"/>
      <c r="S94" s="488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1:30" x14ac:dyDescent="0.25">
      <c r="A95" s="21"/>
      <c r="B95" s="21"/>
      <c r="C95" s="21"/>
      <c r="D95" s="77"/>
      <c r="E95" s="21"/>
      <c r="F95" s="21"/>
      <c r="G95" s="21"/>
      <c r="H95" s="21"/>
      <c r="I95" s="21"/>
      <c r="J95" s="488"/>
      <c r="K95" s="488"/>
      <c r="L95" s="488"/>
      <c r="M95" s="488"/>
      <c r="N95" s="488"/>
      <c r="O95" s="488"/>
      <c r="P95" s="488"/>
      <c r="Q95" s="488"/>
      <c r="R95" s="488"/>
      <c r="S95" s="488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1:30" x14ac:dyDescent="0.25">
      <c r="A96" s="21"/>
      <c r="B96" s="21"/>
      <c r="C96" s="21"/>
      <c r="D96" s="77"/>
      <c r="E96" s="21"/>
      <c r="F96" s="21"/>
      <c r="G96" s="21"/>
      <c r="H96" s="21"/>
      <c r="I96" s="21"/>
      <c r="J96" s="488"/>
      <c r="K96" s="488"/>
      <c r="L96" s="488"/>
      <c r="M96" s="488"/>
      <c r="N96" s="488"/>
      <c r="O96" s="488"/>
      <c r="P96" s="488"/>
      <c r="Q96" s="488"/>
      <c r="R96" s="488"/>
      <c r="S96" s="488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1:30" x14ac:dyDescent="0.25">
      <c r="A97" s="21"/>
      <c r="B97" s="21"/>
      <c r="C97" s="21"/>
      <c r="D97" s="77"/>
      <c r="E97" s="21"/>
      <c r="F97" s="21"/>
      <c r="G97" s="21"/>
      <c r="H97" s="21"/>
      <c r="I97" s="21"/>
      <c r="J97" s="488"/>
      <c r="K97" s="488"/>
      <c r="L97" s="488"/>
      <c r="M97" s="488"/>
      <c r="N97" s="488"/>
      <c r="O97" s="488"/>
      <c r="P97" s="488"/>
      <c r="Q97" s="488"/>
      <c r="R97" s="488"/>
      <c r="S97" s="488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1:30" x14ac:dyDescent="0.25">
      <c r="A98" s="21"/>
      <c r="B98" s="21"/>
      <c r="C98" s="21"/>
      <c r="D98" s="77"/>
      <c r="E98" s="21"/>
      <c r="F98" s="21"/>
      <c r="G98" s="21"/>
      <c r="H98" s="21"/>
      <c r="I98" s="21"/>
      <c r="J98" s="488"/>
      <c r="K98" s="488"/>
      <c r="L98" s="488"/>
      <c r="M98" s="488"/>
      <c r="N98" s="488"/>
      <c r="O98" s="488"/>
      <c r="P98" s="488"/>
      <c r="Q98" s="488"/>
      <c r="R98" s="488"/>
      <c r="S98" s="488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1:30" x14ac:dyDescent="0.25">
      <c r="A99" s="21"/>
      <c r="B99" s="21"/>
      <c r="C99" s="21"/>
      <c r="D99" s="77"/>
      <c r="E99" s="21"/>
      <c r="F99" s="21"/>
      <c r="G99" s="21"/>
      <c r="H99" s="21"/>
      <c r="I99" s="21"/>
      <c r="J99" s="488"/>
      <c r="K99" s="488"/>
      <c r="L99" s="488"/>
      <c r="M99" s="488"/>
      <c r="N99" s="488"/>
      <c r="O99" s="488"/>
      <c r="P99" s="488"/>
      <c r="Q99" s="488"/>
      <c r="R99" s="488"/>
      <c r="S99" s="488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1:30" x14ac:dyDescent="0.25">
      <c r="A100" s="21"/>
      <c r="B100" s="21"/>
      <c r="C100" s="21"/>
      <c r="D100" s="77"/>
      <c r="E100" s="21"/>
      <c r="F100" s="21"/>
      <c r="G100" s="21"/>
      <c r="H100" s="21"/>
      <c r="I100" s="21"/>
      <c r="J100" s="488"/>
      <c r="K100" s="488"/>
      <c r="L100" s="488"/>
      <c r="M100" s="488"/>
      <c r="N100" s="488"/>
      <c r="O100" s="488"/>
      <c r="P100" s="488"/>
      <c r="Q100" s="488"/>
      <c r="R100" s="488"/>
      <c r="S100" s="488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1:30" x14ac:dyDescent="0.25">
      <c r="A101" s="21"/>
      <c r="B101" s="21"/>
      <c r="C101" s="21"/>
      <c r="D101" s="77"/>
      <c r="E101" s="21"/>
      <c r="F101" s="21"/>
      <c r="G101" s="21"/>
      <c r="H101" s="21"/>
      <c r="I101" s="21"/>
      <c r="J101" s="488"/>
      <c r="K101" s="488"/>
      <c r="L101" s="488"/>
      <c r="M101" s="488"/>
      <c r="N101" s="488"/>
      <c r="O101" s="488"/>
      <c r="P101" s="488"/>
      <c r="Q101" s="488"/>
      <c r="R101" s="488"/>
      <c r="S101" s="488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1:30" x14ac:dyDescent="0.25">
      <c r="A102" s="21"/>
      <c r="B102" s="21"/>
      <c r="C102" s="21"/>
      <c r="D102" s="77"/>
      <c r="E102" s="21"/>
      <c r="F102" s="21"/>
      <c r="G102" s="21"/>
      <c r="H102" s="21"/>
      <c r="I102" s="21"/>
      <c r="J102" s="488"/>
      <c r="K102" s="488"/>
      <c r="L102" s="488"/>
      <c r="M102" s="488"/>
      <c r="N102" s="488"/>
      <c r="O102" s="488"/>
      <c r="P102" s="488"/>
      <c r="Q102" s="488"/>
      <c r="R102" s="488"/>
      <c r="S102" s="488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1:30" x14ac:dyDescent="0.25">
      <c r="A103" s="21"/>
      <c r="B103" s="21"/>
      <c r="C103" s="21"/>
      <c r="D103" s="77"/>
      <c r="E103" s="21"/>
      <c r="F103" s="21"/>
      <c r="G103" s="21"/>
      <c r="H103" s="21"/>
      <c r="I103" s="21"/>
      <c r="J103" s="488"/>
      <c r="K103" s="488"/>
      <c r="L103" s="488"/>
      <c r="M103" s="488"/>
      <c r="N103" s="488"/>
      <c r="O103" s="488"/>
      <c r="P103" s="488"/>
      <c r="Q103" s="488"/>
      <c r="R103" s="488"/>
      <c r="S103" s="488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1:30" x14ac:dyDescent="0.25">
      <c r="A104" s="21"/>
      <c r="B104" s="21"/>
      <c r="C104" s="21"/>
      <c r="D104" s="77"/>
      <c r="E104" s="21"/>
      <c r="F104" s="21"/>
      <c r="G104" s="21"/>
      <c r="H104" s="21"/>
      <c r="I104" s="21"/>
      <c r="J104" s="488"/>
      <c r="K104" s="488"/>
      <c r="L104" s="488"/>
      <c r="M104" s="488"/>
      <c r="N104" s="488"/>
      <c r="O104" s="488"/>
      <c r="P104" s="488"/>
      <c r="Q104" s="488"/>
      <c r="R104" s="488"/>
      <c r="S104" s="488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1:30" x14ac:dyDescent="0.25">
      <c r="A105" s="21"/>
      <c r="B105" s="21"/>
      <c r="C105" s="21"/>
      <c r="D105" s="77"/>
      <c r="E105" s="21"/>
      <c r="F105" s="21"/>
      <c r="G105" s="21"/>
      <c r="H105" s="21"/>
      <c r="I105" s="21"/>
      <c r="J105" s="488"/>
      <c r="K105" s="488"/>
      <c r="L105" s="488"/>
      <c r="M105" s="488"/>
      <c r="N105" s="488"/>
      <c r="O105" s="488"/>
      <c r="P105" s="488"/>
      <c r="Q105" s="488"/>
      <c r="R105" s="488"/>
      <c r="S105" s="488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1:30" x14ac:dyDescent="0.25">
      <c r="A106" s="21"/>
      <c r="B106" s="21"/>
      <c r="C106" s="21"/>
      <c r="D106" s="77"/>
      <c r="E106" s="21"/>
      <c r="F106" s="21"/>
      <c r="G106" s="21"/>
      <c r="H106" s="21"/>
      <c r="I106" s="21"/>
      <c r="J106" s="488"/>
      <c r="K106" s="488"/>
      <c r="L106" s="488"/>
      <c r="M106" s="488"/>
      <c r="N106" s="488"/>
      <c r="O106" s="488"/>
      <c r="P106" s="488"/>
      <c r="Q106" s="488"/>
      <c r="R106" s="488"/>
      <c r="S106" s="488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1:30" x14ac:dyDescent="0.25">
      <c r="A107" s="21"/>
      <c r="B107" s="21"/>
      <c r="C107" s="21"/>
      <c r="D107" s="77"/>
      <c r="E107" s="21"/>
      <c r="F107" s="21"/>
      <c r="G107" s="21"/>
      <c r="H107" s="21"/>
      <c r="I107" s="21"/>
      <c r="J107" s="488"/>
      <c r="K107" s="488"/>
      <c r="L107" s="488"/>
      <c r="M107" s="488"/>
      <c r="N107" s="488"/>
      <c r="O107" s="488"/>
      <c r="P107" s="488"/>
      <c r="Q107" s="488"/>
      <c r="R107" s="488"/>
      <c r="S107" s="488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1:30" x14ac:dyDescent="0.25">
      <c r="A108" s="21"/>
      <c r="B108" s="21"/>
      <c r="C108" s="21"/>
      <c r="D108" s="77"/>
      <c r="E108" s="21"/>
      <c r="F108" s="21"/>
      <c r="G108" s="21"/>
      <c r="H108" s="21"/>
      <c r="I108" s="21"/>
      <c r="J108" s="488"/>
      <c r="K108" s="488"/>
      <c r="L108" s="488"/>
      <c r="M108" s="488"/>
      <c r="N108" s="488"/>
      <c r="O108" s="488"/>
      <c r="P108" s="488"/>
      <c r="Q108" s="488"/>
      <c r="R108" s="488"/>
      <c r="S108" s="488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1:30" x14ac:dyDescent="0.25">
      <c r="A109" s="21"/>
      <c r="B109" s="21"/>
      <c r="C109" s="21"/>
      <c r="D109" s="77"/>
      <c r="E109" s="21"/>
      <c r="F109" s="21"/>
      <c r="G109" s="21"/>
      <c r="H109" s="21"/>
      <c r="I109" s="21"/>
      <c r="J109" s="488"/>
      <c r="K109" s="488"/>
      <c r="L109" s="488"/>
      <c r="M109" s="488"/>
      <c r="N109" s="488"/>
      <c r="O109" s="488"/>
      <c r="P109" s="488"/>
      <c r="Q109" s="488"/>
      <c r="R109" s="488"/>
      <c r="S109" s="488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1:30" x14ac:dyDescent="0.25">
      <c r="A110" s="21"/>
      <c r="B110" s="21"/>
      <c r="C110" s="21"/>
      <c r="D110" s="77"/>
      <c r="E110" s="21"/>
      <c r="F110" s="21"/>
      <c r="G110" s="21"/>
      <c r="H110" s="21"/>
      <c r="I110" s="21"/>
      <c r="J110" s="488"/>
      <c r="K110" s="488"/>
      <c r="L110" s="488"/>
      <c r="M110" s="488"/>
      <c r="N110" s="488"/>
      <c r="O110" s="488"/>
      <c r="P110" s="488"/>
      <c r="Q110" s="488"/>
      <c r="R110" s="488"/>
      <c r="S110" s="488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1:30" x14ac:dyDescent="0.25">
      <c r="A111" s="21"/>
      <c r="B111" s="21"/>
      <c r="C111" s="21"/>
      <c r="D111" s="77"/>
      <c r="E111" s="21"/>
      <c r="F111" s="21"/>
      <c r="G111" s="21"/>
      <c r="H111" s="21"/>
      <c r="I111" s="21"/>
      <c r="J111" s="488"/>
      <c r="K111" s="488"/>
      <c r="L111" s="488"/>
      <c r="M111" s="488"/>
      <c r="N111" s="488"/>
      <c r="O111" s="488"/>
      <c r="P111" s="488"/>
      <c r="Q111" s="488"/>
      <c r="R111" s="488"/>
      <c r="S111" s="488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1:30" x14ac:dyDescent="0.25">
      <c r="A112" s="21"/>
      <c r="B112" s="21"/>
      <c r="C112" s="21"/>
      <c r="D112" s="77"/>
      <c r="E112" s="21"/>
      <c r="F112" s="21"/>
      <c r="G112" s="21"/>
      <c r="H112" s="21"/>
      <c r="I112" s="21"/>
      <c r="J112" s="488"/>
      <c r="K112" s="488"/>
      <c r="L112" s="488"/>
      <c r="M112" s="488"/>
      <c r="N112" s="488"/>
      <c r="O112" s="488"/>
      <c r="P112" s="488"/>
      <c r="Q112" s="488"/>
      <c r="R112" s="488"/>
      <c r="S112" s="488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1:30" x14ac:dyDescent="0.25">
      <c r="A113" s="21"/>
      <c r="B113" s="21"/>
      <c r="C113" s="21"/>
      <c r="D113" s="77"/>
      <c r="E113" s="21"/>
      <c r="F113" s="21"/>
      <c r="G113" s="21"/>
      <c r="H113" s="21"/>
      <c r="I113" s="21"/>
      <c r="J113" s="488"/>
      <c r="K113" s="488"/>
      <c r="L113" s="488"/>
      <c r="M113" s="488"/>
      <c r="N113" s="488"/>
      <c r="O113" s="488"/>
      <c r="P113" s="488"/>
      <c r="Q113" s="488"/>
      <c r="R113" s="488"/>
      <c r="S113" s="488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1:30" x14ac:dyDescent="0.25">
      <c r="A114" s="21"/>
      <c r="B114" s="21"/>
      <c r="C114" s="21"/>
      <c r="D114" s="77"/>
      <c r="E114" s="21"/>
      <c r="F114" s="21"/>
      <c r="G114" s="21"/>
      <c r="H114" s="21"/>
      <c r="I114" s="21"/>
      <c r="J114" s="488"/>
      <c r="K114" s="488"/>
      <c r="L114" s="488"/>
      <c r="M114" s="488"/>
      <c r="N114" s="488"/>
      <c r="O114" s="488"/>
      <c r="P114" s="488"/>
      <c r="Q114" s="488"/>
      <c r="R114" s="488"/>
      <c r="S114" s="488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1:30" x14ac:dyDescent="0.25">
      <c r="A115" s="21"/>
      <c r="B115" s="21"/>
      <c r="C115" s="21"/>
      <c r="D115" s="77"/>
      <c r="E115" s="21"/>
      <c r="F115" s="21"/>
      <c r="G115" s="21"/>
      <c r="H115" s="21"/>
      <c r="I115" s="21"/>
      <c r="J115" s="488"/>
      <c r="K115" s="488"/>
      <c r="L115" s="488"/>
      <c r="M115" s="488"/>
      <c r="N115" s="488"/>
      <c r="O115" s="488"/>
      <c r="P115" s="488"/>
      <c r="Q115" s="488"/>
      <c r="R115" s="488"/>
      <c r="S115" s="488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1:30" x14ac:dyDescent="0.25">
      <c r="A116" s="21"/>
      <c r="B116" s="21"/>
      <c r="C116" s="21"/>
      <c r="D116" s="77"/>
      <c r="E116" s="21"/>
      <c r="F116" s="21"/>
      <c r="G116" s="21"/>
      <c r="H116" s="21"/>
      <c r="I116" s="21"/>
      <c r="J116" s="488"/>
      <c r="K116" s="488"/>
      <c r="L116" s="488"/>
      <c r="M116" s="488"/>
      <c r="N116" s="488"/>
      <c r="O116" s="488"/>
      <c r="P116" s="488"/>
      <c r="Q116" s="488"/>
      <c r="R116" s="488"/>
      <c r="S116" s="488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1:30" x14ac:dyDescent="0.25">
      <c r="A117" s="21"/>
      <c r="B117" s="21"/>
      <c r="C117" s="21"/>
      <c r="D117" s="77"/>
      <c r="E117" s="21"/>
      <c r="F117" s="21"/>
      <c r="G117" s="21"/>
      <c r="H117" s="21"/>
      <c r="I117" s="21"/>
      <c r="J117" s="488"/>
      <c r="K117" s="488"/>
      <c r="L117" s="488"/>
      <c r="M117" s="488"/>
      <c r="N117" s="488"/>
      <c r="O117" s="488"/>
      <c r="P117" s="488"/>
      <c r="Q117" s="488"/>
      <c r="R117" s="488"/>
      <c r="S117" s="488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1:30" x14ac:dyDescent="0.25">
      <c r="A118" s="21"/>
      <c r="B118" s="21"/>
      <c r="C118" s="21"/>
      <c r="D118" s="77"/>
      <c r="E118" s="21"/>
      <c r="F118" s="21"/>
      <c r="G118" s="21"/>
      <c r="H118" s="21"/>
      <c r="I118" s="21"/>
      <c r="J118" s="488"/>
      <c r="K118" s="488"/>
      <c r="L118" s="488"/>
      <c r="M118" s="488"/>
      <c r="N118" s="488"/>
      <c r="O118" s="488"/>
      <c r="P118" s="488"/>
      <c r="Q118" s="488"/>
      <c r="R118" s="488"/>
      <c r="S118" s="488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1:30" x14ac:dyDescent="0.25">
      <c r="A119" s="21"/>
      <c r="B119" s="21"/>
      <c r="C119" s="21"/>
      <c r="D119" s="77"/>
      <c r="E119" s="21"/>
      <c r="F119" s="21"/>
      <c r="G119" s="21"/>
      <c r="H119" s="21"/>
      <c r="I119" s="21"/>
      <c r="J119" s="488"/>
      <c r="K119" s="488"/>
      <c r="L119" s="488"/>
      <c r="M119" s="488"/>
      <c r="N119" s="488"/>
      <c r="O119" s="488"/>
      <c r="P119" s="488"/>
      <c r="Q119" s="488"/>
      <c r="R119" s="488"/>
      <c r="S119" s="488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1:30" x14ac:dyDescent="0.25">
      <c r="A120" s="21"/>
      <c r="B120" s="21"/>
      <c r="C120" s="21"/>
      <c r="D120" s="77"/>
      <c r="E120" s="21"/>
      <c r="F120" s="21"/>
      <c r="G120" s="21"/>
      <c r="H120" s="21"/>
      <c r="I120" s="21"/>
      <c r="J120" s="488"/>
      <c r="K120" s="488"/>
      <c r="L120" s="488"/>
      <c r="M120" s="488"/>
      <c r="N120" s="488"/>
      <c r="O120" s="488"/>
      <c r="P120" s="488"/>
      <c r="Q120" s="488"/>
      <c r="R120" s="488"/>
      <c r="S120" s="488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1:30" x14ac:dyDescent="0.25">
      <c r="A121" s="21"/>
      <c r="B121" s="21"/>
      <c r="C121" s="21"/>
      <c r="D121" s="77"/>
      <c r="E121" s="21"/>
      <c r="F121" s="21"/>
      <c r="G121" s="21"/>
      <c r="H121" s="21"/>
      <c r="I121" s="21"/>
      <c r="J121" s="488"/>
      <c r="K121" s="488"/>
      <c r="L121" s="488"/>
      <c r="M121" s="488"/>
      <c r="N121" s="488"/>
      <c r="O121" s="488"/>
      <c r="P121" s="488"/>
      <c r="Q121" s="488"/>
      <c r="R121" s="488"/>
      <c r="S121" s="488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1:30" x14ac:dyDescent="0.25">
      <c r="A122" s="21"/>
      <c r="B122" s="21"/>
      <c r="C122" s="21"/>
      <c r="D122" s="77"/>
      <c r="E122" s="21"/>
      <c r="F122" s="21"/>
      <c r="G122" s="21"/>
      <c r="H122" s="21"/>
      <c r="I122" s="21"/>
      <c r="J122" s="488"/>
      <c r="K122" s="488"/>
      <c r="L122" s="488"/>
      <c r="M122" s="488"/>
      <c r="N122" s="488"/>
      <c r="O122" s="488"/>
      <c r="P122" s="488"/>
      <c r="Q122" s="488"/>
      <c r="R122" s="488"/>
      <c r="S122" s="488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1:30" x14ac:dyDescent="0.25">
      <c r="A123" s="21"/>
      <c r="B123" s="21"/>
      <c r="C123" s="21"/>
      <c r="D123" s="77"/>
      <c r="E123" s="21"/>
      <c r="F123" s="21"/>
      <c r="G123" s="21"/>
      <c r="H123" s="21"/>
      <c r="I123" s="21"/>
      <c r="J123" s="488"/>
      <c r="K123" s="488"/>
      <c r="L123" s="488"/>
      <c r="M123" s="488"/>
      <c r="N123" s="488"/>
      <c r="O123" s="488"/>
      <c r="P123" s="488"/>
      <c r="Q123" s="488"/>
      <c r="R123" s="488"/>
      <c r="S123" s="488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1:30" x14ac:dyDescent="0.25">
      <c r="A124" s="21"/>
      <c r="B124" s="21"/>
      <c r="C124" s="21"/>
      <c r="D124" s="77"/>
      <c r="E124" s="21"/>
      <c r="F124" s="21"/>
      <c r="G124" s="21"/>
      <c r="H124" s="21"/>
      <c r="I124" s="21"/>
      <c r="J124" s="488"/>
      <c r="K124" s="488"/>
      <c r="L124" s="488"/>
      <c r="M124" s="488"/>
      <c r="N124" s="488"/>
      <c r="O124" s="488"/>
      <c r="P124" s="488"/>
      <c r="Q124" s="488"/>
      <c r="R124" s="488"/>
      <c r="S124" s="488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1:30" x14ac:dyDescent="0.25">
      <c r="A125" s="21"/>
      <c r="B125" s="21"/>
      <c r="C125" s="21"/>
      <c r="D125" s="77"/>
      <c r="E125" s="21"/>
      <c r="F125" s="21"/>
      <c r="G125" s="21"/>
      <c r="H125" s="21"/>
      <c r="I125" s="21"/>
      <c r="J125" s="488"/>
      <c r="K125" s="488"/>
      <c r="L125" s="488"/>
      <c r="M125" s="488"/>
      <c r="N125" s="488"/>
      <c r="O125" s="488"/>
      <c r="P125" s="488"/>
      <c r="Q125" s="488"/>
      <c r="R125" s="488"/>
      <c r="S125" s="488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1:30" x14ac:dyDescent="0.25">
      <c r="A126" s="21"/>
      <c r="B126" s="21"/>
      <c r="C126" s="21"/>
      <c r="D126" s="77"/>
      <c r="E126" s="21"/>
      <c r="F126" s="21"/>
      <c r="G126" s="21"/>
      <c r="H126" s="21"/>
      <c r="I126" s="21"/>
      <c r="J126" s="488"/>
      <c r="K126" s="488"/>
      <c r="L126" s="488"/>
      <c r="M126" s="488"/>
      <c r="N126" s="488"/>
      <c r="O126" s="488"/>
      <c r="P126" s="488"/>
      <c r="Q126" s="488"/>
      <c r="R126" s="488"/>
      <c r="S126" s="488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1:30" x14ac:dyDescent="0.25">
      <c r="A127" s="21"/>
      <c r="B127" s="21"/>
      <c r="C127" s="21"/>
      <c r="D127" s="77"/>
      <c r="E127" s="21"/>
      <c r="F127" s="21"/>
      <c r="G127" s="21"/>
      <c r="H127" s="21"/>
      <c r="I127" s="21"/>
      <c r="J127" s="488"/>
      <c r="K127" s="488"/>
      <c r="L127" s="488"/>
      <c r="M127" s="488"/>
      <c r="N127" s="488"/>
      <c r="O127" s="488"/>
      <c r="P127" s="488"/>
      <c r="Q127" s="488"/>
      <c r="R127" s="488"/>
      <c r="S127" s="488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1:30" x14ac:dyDescent="0.25">
      <c r="A128" s="21"/>
      <c r="B128" s="21"/>
      <c r="C128" s="21"/>
      <c r="D128" s="77"/>
      <c r="E128" s="21"/>
      <c r="F128" s="21"/>
      <c r="G128" s="21"/>
      <c r="H128" s="21"/>
      <c r="I128" s="21"/>
      <c r="J128" s="488"/>
      <c r="K128" s="488"/>
      <c r="L128" s="488"/>
      <c r="M128" s="488"/>
      <c r="N128" s="488"/>
      <c r="O128" s="488"/>
      <c r="P128" s="488"/>
      <c r="Q128" s="488"/>
      <c r="R128" s="488"/>
      <c r="S128" s="488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1:30" x14ac:dyDescent="0.25">
      <c r="A129" s="21"/>
      <c r="B129" s="21"/>
      <c r="C129" s="21"/>
      <c r="D129" s="77"/>
      <c r="E129" s="21"/>
      <c r="F129" s="21"/>
      <c r="G129" s="21"/>
      <c r="H129" s="21"/>
      <c r="I129" s="21"/>
      <c r="J129" s="488"/>
      <c r="K129" s="488"/>
      <c r="L129" s="488"/>
      <c r="M129" s="488"/>
      <c r="N129" s="488"/>
      <c r="O129" s="488"/>
      <c r="P129" s="488"/>
      <c r="Q129" s="488"/>
      <c r="R129" s="488"/>
      <c r="S129" s="488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1:30" x14ac:dyDescent="0.25">
      <c r="A130" s="21"/>
      <c r="B130" s="21"/>
      <c r="C130" s="21"/>
      <c r="D130" s="77"/>
      <c r="E130" s="21"/>
      <c r="F130" s="21"/>
      <c r="G130" s="21"/>
      <c r="H130" s="21"/>
      <c r="I130" s="21"/>
      <c r="J130" s="488"/>
      <c r="K130" s="488"/>
      <c r="L130" s="488"/>
      <c r="M130" s="488"/>
      <c r="N130" s="488"/>
      <c r="O130" s="488"/>
      <c r="P130" s="488"/>
      <c r="Q130" s="488"/>
      <c r="R130" s="488"/>
      <c r="S130" s="488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1:30" x14ac:dyDescent="0.25">
      <c r="A131" s="21"/>
      <c r="B131" s="21"/>
      <c r="C131" s="21"/>
      <c r="D131" s="77"/>
      <c r="E131" s="21"/>
      <c r="F131" s="21"/>
      <c r="G131" s="21"/>
      <c r="H131" s="21"/>
      <c r="I131" s="21"/>
      <c r="J131" s="488"/>
      <c r="K131" s="488"/>
      <c r="L131" s="488"/>
      <c r="M131" s="488"/>
      <c r="N131" s="488"/>
      <c r="O131" s="488"/>
      <c r="P131" s="488"/>
      <c r="Q131" s="488"/>
      <c r="R131" s="488"/>
      <c r="S131" s="488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1:30" x14ac:dyDescent="0.25">
      <c r="A132" s="21"/>
      <c r="B132" s="21"/>
      <c r="C132" s="21"/>
      <c r="D132" s="77"/>
      <c r="E132" s="21"/>
      <c r="F132" s="21"/>
      <c r="G132" s="21"/>
      <c r="H132" s="21"/>
      <c r="I132" s="21"/>
      <c r="J132" s="488"/>
      <c r="K132" s="488"/>
      <c r="L132" s="488"/>
      <c r="M132" s="488"/>
      <c r="N132" s="488"/>
      <c r="O132" s="488"/>
      <c r="P132" s="488"/>
      <c r="Q132" s="488"/>
      <c r="R132" s="488"/>
      <c r="S132" s="488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1:30" x14ac:dyDescent="0.25">
      <c r="A133" s="21"/>
      <c r="B133" s="21"/>
      <c r="C133" s="21"/>
      <c r="D133" s="77"/>
      <c r="E133" s="21"/>
      <c r="F133" s="21"/>
      <c r="G133" s="21"/>
      <c r="H133" s="21"/>
      <c r="I133" s="21"/>
      <c r="J133" s="488"/>
      <c r="K133" s="488"/>
      <c r="L133" s="488"/>
      <c r="M133" s="488"/>
      <c r="N133" s="488"/>
      <c r="O133" s="488"/>
      <c r="P133" s="488"/>
      <c r="Q133" s="488"/>
      <c r="R133" s="488"/>
      <c r="S133" s="488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1:30" x14ac:dyDescent="0.25">
      <c r="A134" s="21"/>
      <c r="B134" s="21"/>
      <c r="C134" s="21"/>
      <c r="D134" s="77"/>
      <c r="E134" s="21"/>
      <c r="F134" s="21"/>
      <c r="G134" s="21"/>
      <c r="H134" s="21"/>
      <c r="I134" s="21"/>
      <c r="J134" s="488"/>
      <c r="K134" s="488"/>
      <c r="L134" s="488"/>
      <c r="M134" s="488"/>
      <c r="N134" s="488"/>
      <c r="O134" s="488"/>
      <c r="P134" s="488"/>
      <c r="Q134" s="488"/>
      <c r="R134" s="488"/>
      <c r="S134" s="488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1:30" x14ac:dyDescent="0.25">
      <c r="A135" s="21"/>
      <c r="B135" s="21"/>
      <c r="C135" s="21"/>
      <c r="D135" s="77"/>
      <c r="E135" s="21"/>
      <c r="F135" s="21"/>
      <c r="G135" s="21"/>
      <c r="H135" s="21"/>
      <c r="I135" s="21"/>
      <c r="J135" s="488"/>
      <c r="K135" s="488"/>
      <c r="L135" s="488"/>
      <c r="M135" s="488"/>
      <c r="N135" s="488"/>
      <c r="O135" s="488"/>
      <c r="P135" s="488"/>
      <c r="Q135" s="488"/>
      <c r="R135" s="488"/>
      <c r="S135" s="488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1:30" x14ac:dyDescent="0.25">
      <c r="A136" s="21"/>
      <c r="B136" s="21"/>
      <c r="C136" s="21"/>
      <c r="D136" s="77"/>
      <c r="E136" s="21"/>
      <c r="F136" s="21"/>
      <c r="G136" s="21"/>
      <c r="H136" s="21"/>
      <c r="I136" s="21"/>
      <c r="J136" s="488"/>
      <c r="K136" s="488"/>
      <c r="L136" s="488"/>
      <c r="M136" s="488"/>
      <c r="N136" s="488"/>
      <c r="O136" s="488"/>
      <c r="P136" s="488"/>
      <c r="Q136" s="488"/>
      <c r="R136" s="488"/>
      <c r="S136" s="488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1:30" x14ac:dyDescent="0.25">
      <c r="A137" s="21"/>
      <c r="B137" s="21"/>
      <c r="C137" s="21"/>
      <c r="D137" s="77"/>
      <c r="E137" s="21"/>
      <c r="F137" s="21"/>
      <c r="G137" s="21"/>
      <c r="H137" s="21"/>
      <c r="I137" s="21"/>
      <c r="J137" s="488"/>
      <c r="K137" s="488"/>
      <c r="L137" s="488"/>
      <c r="M137" s="488"/>
      <c r="N137" s="488"/>
      <c r="O137" s="488"/>
      <c r="P137" s="488"/>
      <c r="Q137" s="488"/>
      <c r="R137" s="488"/>
      <c r="S137" s="488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1:30" x14ac:dyDescent="0.25">
      <c r="A138" s="21"/>
      <c r="B138" s="21"/>
      <c r="C138" s="21"/>
      <c r="D138" s="77"/>
      <c r="E138" s="21"/>
      <c r="F138" s="21"/>
      <c r="G138" s="21"/>
      <c r="H138" s="21"/>
      <c r="I138" s="21"/>
      <c r="J138" s="488"/>
      <c r="K138" s="488"/>
      <c r="L138" s="488"/>
      <c r="M138" s="488"/>
      <c r="N138" s="488"/>
      <c r="O138" s="488"/>
      <c r="P138" s="488"/>
      <c r="Q138" s="488"/>
      <c r="R138" s="488"/>
      <c r="S138" s="488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1:30" x14ac:dyDescent="0.25">
      <c r="A139" s="21"/>
      <c r="B139" s="21"/>
      <c r="C139" s="21"/>
      <c r="D139" s="77"/>
      <c r="E139" s="21"/>
      <c r="F139" s="21"/>
      <c r="G139" s="21"/>
      <c r="H139" s="21"/>
      <c r="I139" s="21"/>
      <c r="J139" s="488"/>
      <c r="K139" s="488"/>
      <c r="L139" s="488"/>
      <c r="M139" s="488"/>
      <c r="N139" s="488"/>
      <c r="O139" s="488"/>
      <c r="P139" s="488"/>
      <c r="Q139" s="488"/>
      <c r="R139" s="488"/>
      <c r="S139" s="488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1:30" x14ac:dyDescent="0.25">
      <c r="A140" s="21"/>
      <c r="B140" s="21"/>
      <c r="C140" s="21"/>
      <c r="D140" s="77"/>
      <c r="E140" s="21"/>
      <c r="F140" s="21"/>
      <c r="G140" s="21"/>
      <c r="H140" s="21"/>
      <c r="I140" s="21"/>
      <c r="J140" s="488"/>
      <c r="K140" s="488"/>
      <c r="L140" s="488"/>
      <c r="M140" s="488"/>
      <c r="N140" s="488"/>
      <c r="O140" s="488"/>
      <c r="P140" s="488"/>
      <c r="Q140" s="488"/>
      <c r="R140" s="488"/>
      <c r="S140" s="488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1:30" x14ac:dyDescent="0.25">
      <c r="A141" s="21"/>
      <c r="B141" s="21"/>
      <c r="C141" s="21"/>
      <c r="D141" s="77"/>
      <c r="E141" s="21"/>
      <c r="F141" s="21"/>
      <c r="G141" s="21"/>
      <c r="H141" s="21"/>
      <c r="I141" s="21"/>
      <c r="J141" s="488"/>
      <c r="K141" s="488"/>
      <c r="L141" s="488"/>
      <c r="M141" s="488"/>
      <c r="N141" s="488"/>
      <c r="O141" s="488"/>
      <c r="P141" s="488"/>
      <c r="Q141" s="488"/>
      <c r="R141" s="488"/>
      <c r="S141" s="488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1:30" x14ac:dyDescent="0.25">
      <c r="A142" s="21"/>
      <c r="B142" s="21"/>
      <c r="C142" s="21"/>
      <c r="D142" s="77"/>
      <c r="E142" s="21"/>
      <c r="F142" s="21"/>
      <c r="G142" s="21"/>
      <c r="H142" s="21"/>
      <c r="I142" s="21"/>
      <c r="J142" s="488"/>
      <c r="K142" s="488"/>
      <c r="L142" s="488"/>
      <c r="M142" s="488"/>
      <c r="N142" s="488"/>
      <c r="O142" s="488"/>
      <c r="P142" s="488"/>
      <c r="Q142" s="488"/>
      <c r="R142" s="488"/>
      <c r="S142" s="488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1:30" x14ac:dyDescent="0.25">
      <c r="A143" s="21"/>
      <c r="B143" s="21"/>
      <c r="C143" s="21"/>
      <c r="D143" s="77"/>
      <c r="E143" s="21"/>
      <c r="F143" s="21"/>
      <c r="G143" s="21"/>
      <c r="H143" s="21"/>
      <c r="I143" s="21"/>
      <c r="J143" s="488"/>
      <c r="K143" s="488"/>
      <c r="L143" s="488"/>
      <c r="M143" s="488"/>
      <c r="N143" s="488"/>
      <c r="O143" s="488"/>
      <c r="P143" s="488"/>
      <c r="Q143" s="488"/>
      <c r="R143" s="488"/>
      <c r="S143" s="488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1:30" x14ac:dyDescent="0.25">
      <c r="A144" s="21"/>
      <c r="B144" s="21"/>
      <c r="C144" s="21"/>
      <c r="D144" s="77"/>
      <c r="E144" s="21"/>
      <c r="F144" s="21"/>
      <c r="G144" s="21"/>
      <c r="H144" s="21"/>
      <c r="I144" s="21"/>
      <c r="J144" s="488"/>
      <c r="K144" s="488"/>
      <c r="L144" s="488"/>
      <c r="M144" s="488"/>
      <c r="N144" s="488"/>
      <c r="O144" s="488"/>
      <c r="P144" s="488"/>
      <c r="Q144" s="488"/>
      <c r="R144" s="488"/>
      <c r="S144" s="488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1:30" x14ac:dyDescent="0.25">
      <c r="A145" s="21"/>
      <c r="B145" s="21"/>
      <c r="C145" s="21"/>
      <c r="D145" s="77"/>
      <c r="E145" s="21"/>
      <c r="F145" s="21"/>
      <c r="G145" s="21"/>
      <c r="H145" s="21"/>
      <c r="I145" s="21"/>
      <c r="J145" s="488"/>
      <c r="K145" s="488"/>
      <c r="L145" s="488"/>
      <c r="M145" s="488"/>
      <c r="N145" s="488"/>
      <c r="O145" s="488"/>
      <c r="P145" s="488"/>
      <c r="Q145" s="488"/>
      <c r="R145" s="488"/>
      <c r="S145" s="488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1:30" x14ac:dyDescent="0.25">
      <c r="A146" s="21"/>
      <c r="B146" s="21"/>
      <c r="C146" s="21"/>
      <c r="D146" s="77"/>
      <c r="E146" s="21"/>
      <c r="F146" s="21"/>
      <c r="G146" s="21"/>
      <c r="H146" s="21"/>
      <c r="I146" s="21"/>
      <c r="J146" s="488"/>
      <c r="K146" s="488"/>
      <c r="L146" s="488"/>
      <c r="M146" s="488"/>
      <c r="N146" s="488"/>
      <c r="O146" s="488"/>
      <c r="P146" s="488"/>
      <c r="Q146" s="488"/>
      <c r="R146" s="488"/>
      <c r="S146" s="488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1:30" x14ac:dyDescent="0.25">
      <c r="A147" s="21"/>
      <c r="B147" s="21"/>
      <c r="C147" s="21"/>
      <c r="D147" s="77"/>
      <c r="E147" s="21"/>
      <c r="F147" s="21"/>
      <c r="G147" s="21"/>
      <c r="H147" s="21"/>
      <c r="I147" s="21"/>
      <c r="J147" s="488"/>
      <c r="K147" s="488"/>
      <c r="L147" s="488"/>
      <c r="M147" s="488"/>
      <c r="N147" s="488"/>
      <c r="O147" s="488"/>
      <c r="P147" s="488"/>
      <c r="Q147" s="488"/>
      <c r="R147" s="488"/>
      <c r="S147" s="488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1:30" x14ac:dyDescent="0.25">
      <c r="A148" s="21"/>
      <c r="B148" s="21"/>
      <c r="C148" s="21"/>
      <c r="D148" s="77"/>
      <c r="E148" s="21"/>
      <c r="F148" s="21"/>
      <c r="G148" s="21"/>
      <c r="H148" s="21"/>
      <c r="I148" s="21"/>
      <c r="J148" s="488"/>
      <c r="K148" s="488"/>
      <c r="L148" s="488"/>
      <c r="M148" s="488"/>
      <c r="N148" s="488"/>
      <c r="O148" s="488"/>
      <c r="P148" s="488"/>
      <c r="Q148" s="488"/>
      <c r="R148" s="488"/>
      <c r="S148" s="488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1:30" x14ac:dyDescent="0.25">
      <c r="A149" s="21"/>
      <c r="B149" s="21"/>
      <c r="C149" s="21"/>
      <c r="D149" s="77"/>
      <c r="E149" s="21"/>
      <c r="F149" s="21"/>
      <c r="G149" s="21"/>
      <c r="H149" s="21"/>
      <c r="I149" s="21"/>
      <c r="J149" s="488"/>
      <c r="K149" s="488"/>
      <c r="L149" s="488"/>
      <c r="M149" s="488"/>
      <c r="N149" s="488"/>
      <c r="O149" s="488"/>
      <c r="P149" s="488"/>
      <c r="Q149" s="488"/>
      <c r="R149" s="488"/>
      <c r="S149" s="488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1:30" x14ac:dyDescent="0.25">
      <c r="A150" s="21"/>
      <c r="B150" s="21"/>
      <c r="C150" s="21"/>
      <c r="D150" s="77"/>
      <c r="E150" s="21"/>
      <c r="F150" s="21"/>
      <c r="G150" s="21"/>
      <c r="H150" s="21"/>
      <c r="I150" s="21"/>
      <c r="J150" s="488"/>
      <c r="K150" s="488"/>
      <c r="L150" s="488"/>
      <c r="M150" s="488"/>
      <c r="N150" s="488"/>
      <c r="O150" s="488"/>
      <c r="P150" s="488"/>
      <c r="Q150" s="488"/>
      <c r="R150" s="488"/>
      <c r="S150" s="488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1:30" x14ac:dyDescent="0.25">
      <c r="A151" s="21"/>
      <c r="B151" s="21"/>
      <c r="C151" s="21"/>
      <c r="D151" s="77"/>
      <c r="E151" s="21"/>
      <c r="F151" s="21"/>
      <c r="G151" s="21"/>
      <c r="H151" s="21"/>
      <c r="I151" s="21"/>
      <c r="J151" s="488"/>
      <c r="K151" s="488"/>
      <c r="L151" s="488"/>
      <c r="M151" s="488"/>
      <c r="N151" s="488"/>
      <c r="O151" s="488"/>
      <c r="P151" s="488"/>
      <c r="Q151" s="488"/>
      <c r="R151" s="488"/>
      <c r="S151" s="488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1:30" x14ac:dyDescent="0.25">
      <c r="A152" s="21"/>
      <c r="B152" s="21"/>
      <c r="C152" s="21"/>
      <c r="D152" s="77"/>
      <c r="E152" s="21"/>
      <c r="F152" s="21"/>
      <c r="G152" s="21"/>
      <c r="H152" s="21"/>
      <c r="I152" s="21"/>
      <c r="J152" s="488"/>
      <c r="K152" s="488"/>
      <c r="L152" s="488"/>
      <c r="M152" s="488"/>
      <c r="N152" s="488"/>
      <c r="O152" s="488"/>
      <c r="P152" s="488"/>
      <c r="Q152" s="488"/>
      <c r="R152" s="488"/>
      <c r="S152" s="488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1:30" x14ac:dyDescent="0.25">
      <c r="A153" s="21"/>
      <c r="B153" s="21"/>
      <c r="C153" s="21"/>
      <c r="D153" s="77"/>
      <c r="E153" s="21"/>
      <c r="F153" s="21"/>
      <c r="G153" s="21"/>
      <c r="H153" s="21"/>
      <c r="I153" s="21"/>
      <c r="J153" s="488"/>
      <c r="K153" s="488"/>
      <c r="L153" s="488"/>
      <c r="M153" s="488"/>
      <c r="N153" s="488"/>
      <c r="O153" s="488"/>
      <c r="P153" s="488"/>
      <c r="Q153" s="488"/>
      <c r="R153" s="488"/>
      <c r="S153" s="488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1:30" x14ac:dyDescent="0.25">
      <c r="A154" s="21"/>
      <c r="B154" s="21"/>
      <c r="C154" s="21"/>
      <c r="D154" s="77"/>
      <c r="E154" s="21"/>
      <c r="F154" s="21"/>
      <c r="G154" s="21"/>
      <c r="H154" s="21"/>
      <c r="I154" s="21"/>
      <c r="J154" s="488"/>
      <c r="K154" s="488"/>
      <c r="L154" s="488"/>
      <c r="M154" s="488"/>
      <c r="N154" s="488"/>
      <c r="O154" s="488"/>
      <c r="P154" s="488"/>
      <c r="Q154" s="488"/>
      <c r="R154" s="488"/>
      <c r="S154" s="488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1:30" x14ac:dyDescent="0.25">
      <c r="A155" s="21"/>
      <c r="B155" s="21"/>
      <c r="C155" s="21"/>
      <c r="D155" s="77"/>
      <c r="E155" s="21"/>
      <c r="F155" s="21"/>
      <c r="G155" s="21"/>
      <c r="H155" s="21"/>
      <c r="I155" s="21"/>
      <c r="J155" s="488"/>
      <c r="K155" s="488"/>
      <c r="L155" s="488"/>
      <c r="M155" s="488"/>
      <c r="N155" s="488"/>
      <c r="O155" s="488"/>
      <c r="P155" s="488"/>
      <c r="Q155" s="488"/>
      <c r="R155" s="488"/>
      <c r="S155" s="488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1:30" x14ac:dyDescent="0.25">
      <c r="A156" s="21"/>
      <c r="B156" s="21"/>
      <c r="C156" s="21"/>
      <c r="D156" s="77"/>
      <c r="E156" s="21"/>
      <c r="F156" s="21"/>
      <c r="G156" s="21"/>
      <c r="H156" s="21"/>
      <c r="I156" s="21"/>
      <c r="J156" s="488"/>
      <c r="K156" s="488"/>
      <c r="L156" s="488"/>
      <c r="M156" s="488"/>
      <c r="N156" s="488"/>
      <c r="O156" s="488"/>
      <c r="P156" s="488"/>
      <c r="Q156" s="488"/>
      <c r="R156" s="488"/>
      <c r="S156" s="488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1:30" x14ac:dyDescent="0.25">
      <c r="A157" s="21"/>
      <c r="B157" s="21"/>
      <c r="C157" s="21"/>
      <c r="D157" s="77"/>
      <c r="E157" s="21"/>
      <c r="F157" s="21"/>
      <c r="G157" s="21"/>
      <c r="H157" s="21"/>
      <c r="I157" s="21"/>
      <c r="J157" s="488"/>
      <c r="K157" s="488"/>
      <c r="L157" s="488"/>
      <c r="M157" s="488"/>
      <c r="N157" s="488"/>
      <c r="O157" s="488"/>
      <c r="P157" s="488"/>
      <c r="Q157" s="488"/>
      <c r="R157" s="488"/>
      <c r="S157" s="488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1:30" x14ac:dyDescent="0.25">
      <c r="A158" s="21"/>
      <c r="B158" s="21"/>
      <c r="C158" s="21"/>
      <c r="D158" s="77"/>
      <c r="E158" s="21"/>
      <c r="F158" s="21"/>
      <c r="G158" s="21"/>
      <c r="H158" s="21"/>
      <c r="I158" s="21"/>
      <c r="J158" s="488"/>
      <c r="K158" s="488"/>
      <c r="L158" s="488"/>
      <c r="M158" s="488"/>
      <c r="N158" s="488"/>
      <c r="O158" s="488"/>
      <c r="P158" s="488"/>
      <c r="Q158" s="488"/>
      <c r="R158" s="488"/>
      <c r="S158" s="488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1:30" x14ac:dyDescent="0.25">
      <c r="I159" s="21"/>
      <c r="J159" s="488"/>
      <c r="K159" s="488"/>
      <c r="L159" s="488"/>
      <c r="M159" s="488"/>
      <c r="N159" s="488"/>
      <c r="O159" s="488"/>
      <c r="P159" s="488"/>
      <c r="Q159" s="488"/>
      <c r="R159" s="488"/>
      <c r="S159" s="488"/>
      <c r="T159" s="21"/>
      <c r="U159" s="21"/>
      <c r="V159" s="21"/>
      <c r="W159" s="21"/>
      <c r="X159" s="21"/>
      <c r="Y159" s="21"/>
      <c r="Z159" s="21"/>
      <c r="AA159" s="21"/>
    </row>
    <row r="160" spans="1:30" x14ac:dyDescent="0.25">
      <c r="I160" s="21"/>
      <c r="J160" s="488"/>
      <c r="K160" s="488"/>
      <c r="L160" s="488"/>
      <c r="M160" s="488"/>
      <c r="N160" s="488"/>
      <c r="O160" s="488"/>
      <c r="P160" s="488"/>
      <c r="Q160" s="488"/>
      <c r="R160" s="488"/>
      <c r="S160" s="488"/>
      <c r="T160" s="21"/>
      <c r="U160" s="21"/>
      <c r="V160" s="21"/>
      <c r="W160" s="21"/>
      <c r="X160" s="21"/>
      <c r="Y160" s="21"/>
      <c r="Z160" s="21"/>
      <c r="AA160" s="21"/>
    </row>
    <row r="161" spans="9:27" x14ac:dyDescent="0.25">
      <c r="I161" s="21"/>
      <c r="J161" s="488"/>
      <c r="K161" s="488"/>
      <c r="L161" s="488"/>
      <c r="M161" s="488"/>
      <c r="N161" s="488"/>
      <c r="O161" s="488"/>
      <c r="P161" s="488"/>
      <c r="Q161" s="488"/>
      <c r="R161" s="488"/>
      <c r="S161" s="488"/>
      <c r="T161" s="21"/>
      <c r="U161" s="21"/>
      <c r="V161" s="21"/>
      <c r="W161" s="21"/>
      <c r="X161" s="21"/>
      <c r="Y161" s="21"/>
      <c r="Z161" s="21"/>
      <c r="AA161" s="21"/>
    </row>
    <row r="162" spans="9:27" x14ac:dyDescent="0.25">
      <c r="I162" s="21"/>
      <c r="J162" s="488"/>
      <c r="K162" s="488"/>
      <c r="L162" s="488"/>
      <c r="M162" s="488"/>
      <c r="N162" s="488"/>
      <c r="O162" s="488"/>
      <c r="P162" s="488"/>
      <c r="Q162" s="488"/>
      <c r="R162" s="488"/>
      <c r="S162" s="488"/>
      <c r="T162" s="21"/>
      <c r="U162" s="21"/>
      <c r="V162" s="21"/>
      <c r="W162" s="21"/>
      <c r="X162" s="21"/>
      <c r="Y162" s="21"/>
      <c r="Z162" s="21"/>
      <c r="AA162" s="21"/>
    </row>
    <row r="163" spans="9:27" x14ac:dyDescent="0.25">
      <c r="I163" s="21"/>
      <c r="J163" s="488"/>
      <c r="K163" s="488"/>
      <c r="L163" s="488"/>
      <c r="M163" s="488"/>
      <c r="N163" s="488"/>
      <c r="O163" s="488"/>
      <c r="P163" s="488"/>
      <c r="Q163" s="488"/>
      <c r="R163" s="488"/>
      <c r="S163" s="488"/>
      <c r="T163" s="21"/>
      <c r="U163" s="21"/>
      <c r="V163" s="21"/>
      <c r="W163" s="21"/>
      <c r="X163" s="21"/>
      <c r="Y163" s="21"/>
      <c r="Z163" s="21"/>
      <c r="AA163" s="21"/>
    </row>
    <row r="164" spans="9:27" x14ac:dyDescent="0.25">
      <c r="I164" s="21"/>
      <c r="J164" s="488"/>
      <c r="K164" s="488"/>
      <c r="L164" s="488"/>
      <c r="M164" s="488"/>
      <c r="N164" s="488"/>
      <c r="O164" s="488"/>
      <c r="P164" s="488"/>
      <c r="Q164" s="488"/>
      <c r="R164" s="488"/>
      <c r="S164" s="488"/>
      <c r="T164" s="21"/>
      <c r="U164" s="21"/>
      <c r="V164" s="21"/>
      <c r="W164" s="21"/>
      <c r="X164" s="21"/>
      <c r="Y164" s="21"/>
      <c r="Z164" s="21"/>
      <c r="AA164" s="21"/>
    </row>
    <row r="165" spans="9:27" x14ac:dyDescent="0.25">
      <c r="I165" s="21"/>
      <c r="J165" s="488"/>
      <c r="K165" s="488"/>
      <c r="L165" s="488"/>
      <c r="M165" s="488"/>
      <c r="N165" s="488"/>
      <c r="O165" s="488"/>
      <c r="P165" s="488"/>
      <c r="Q165" s="488"/>
      <c r="R165" s="488"/>
      <c r="S165" s="488"/>
      <c r="T165" s="21"/>
      <c r="U165" s="21"/>
      <c r="V165" s="21"/>
      <c r="W165" s="21"/>
      <c r="X165" s="21"/>
      <c r="Y165" s="21"/>
      <c r="Z165" s="21"/>
      <c r="AA165" s="21"/>
    </row>
    <row r="166" spans="9:27" x14ac:dyDescent="0.25">
      <c r="I166" s="21"/>
      <c r="J166" s="488"/>
      <c r="K166" s="488"/>
      <c r="L166" s="488"/>
      <c r="M166" s="488"/>
      <c r="N166" s="488"/>
      <c r="O166" s="488"/>
      <c r="P166" s="488"/>
      <c r="Q166" s="488"/>
      <c r="R166" s="488"/>
      <c r="S166" s="488"/>
      <c r="T166" s="21"/>
      <c r="U166" s="21"/>
      <c r="V166" s="21"/>
      <c r="W166" s="21"/>
      <c r="X166" s="21"/>
      <c r="Y166" s="21"/>
      <c r="Z166" s="21"/>
      <c r="AA166" s="21"/>
    </row>
    <row r="167" spans="9:27" x14ac:dyDescent="0.25">
      <c r="I167" s="21"/>
      <c r="J167" s="488"/>
      <c r="K167" s="488"/>
      <c r="L167" s="488"/>
      <c r="M167" s="488"/>
      <c r="N167" s="488"/>
      <c r="O167" s="488"/>
      <c r="P167" s="488"/>
      <c r="Q167" s="488"/>
      <c r="R167" s="488"/>
      <c r="S167" s="488"/>
      <c r="T167" s="21"/>
      <c r="U167" s="21"/>
      <c r="V167" s="21"/>
      <c r="W167" s="21"/>
      <c r="X167" s="21"/>
      <c r="Y167" s="21"/>
      <c r="Z167" s="21"/>
      <c r="AA167" s="21"/>
    </row>
    <row r="168" spans="9:27" x14ac:dyDescent="0.25">
      <c r="I168" s="21"/>
      <c r="J168" s="488"/>
      <c r="K168" s="488"/>
      <c r="L168" s="488"/>
      <c r="M168" s="488"/>
      <c r="N168" s="488"/>
      <c r="O168" s="488"/>
      <c r="P168" s="488"/>
      <c r="Q168" s="488"/>
      <c r="R168" s="488"/>
      <c r="S168" s="488"/>
      <c r="T168" s="21"/>
      <c r="U168" s="21"/>
      <c r="V168" s="21"/>
      <c r="W168" s="21"/>
      <c r="X168" s="21"/>
      <c r="Y168" s="21"/>
      <c r="Z168" s="21"/>
      <c r="AA168" s="21"/>
    </row>
    <row r="169" spans="9:27" x14ac:dyDescent="0.25">
      <c r="I169" s="21"/>
      <c r="J169" s="488"/>
      <c r="K169" s="488"/>
      <c r="L169" s="488"/>
      <c r="M169" s="488"/>
      <c r="N169" s="488"/>
      <c r="O169" s="488"/>
      <c r="P169" s="488"/>
      <c r="Q169" s="488"/>
      <c r="R169" s="488"/>
      <c r="S169" s="488"/>
      <c r="T169" s="21"/>
      <c r="U169" s="21"/>
      <c r="V169" s="21"/>
      <c r="W169" s="21"/>
      <c r="X169" s="21"/>
      <c r="Y169" s="21"/>
      <c r="Z169" s="21"/>
      <c r="AA169" s="21"/>
    </row>
    <row r="170" spans="9:27" x14ac:dyDescent="0.25">
      <c r="I170" s="21"/>
      <c r="J170" s="488"/>
      <c r="K170" s="488"/>
      <c r="L170" s="488"/>
      <c r="M170" s="488"/>
      <c r="N170" s="488"/>
      <c r="O170" s="488"/>
      <c r="P170" s="488"/>
      <c r="Q170" s="488"/>
      <c r="R170" s="488"/>
      <c r="S170" s="488"/>
      <c r="T170" s="21"/>
      <c r="U170" s="21"/>
      <c r="V170" s="21"/>
      <c r="W170" s="21"/>
      <c r="X170" s="21"/>
      <c r="Y170" s="21"/>
      <c r="Z170" s="21"/>
      <c r="AA170" s="21"/>
    </row>
    <row r="171" spans="9:27" x14ac:dyDescent="0.25">
      <c r="I171" s="21"/>
      <c r="J171" s="488"/>
      <c r="K171" s="488"/>
      <c r="L171" s="488"/>
      <c r="M171" s="488"/>
      <c r="N171" s="488"/>
      <c r="O171" s="488"/>
      <c r="P171" s="488"/>
      <c r="Q171" s="488"/>
      <c r="R171" s="488"/>
      <c r="S171" s="488"/>
      <c r="T171" s="21"/>
      <c r="U171" s="21"/>
      <c r="V171" s="21"/>
      <c r="W171" s="21"/>
      <c r="X171" s="21"/>
      <c r="Y171" s="21"/>
      <c r="Z171" s="21"/>
      <c r="AA171" s="21"/>
    </row>
    <row r="172" spans="9:27" x14ac:dyDescent="0.25">
      <c r="I172" s="21"/>
      <c r="J172" s="488"/>
      <c r="K172" s="488"/>
      <c r="L172" s="488"/>
      <c r="M172" s="488"/>
      <c r="N172" s="488"/>
      <c r="O172" s="488"/>
      <c r="P172" s="488"/>
      <c r="Q172" s="488"/>
      <c r="R172" s="488"/>
      <c r="S172" s="488"/>
      <c r="T172" s="21"/>
      <c r="U172" s="21"/>
      <c r="V172" s="21"/>
      <c r="W172" s="21"/>
      <c r="X172" s="21"/>
      <c r="Y172" s="21"/>
      <c r="Z172" s="21"/>
      <c r="AA172" s="21"/>
    </row>
    <row r="173" spans="9:27" x14ac:dyDescent="0.25">
      <c r="I173" s="21"/>
      <c r="J173" s="488"/>
      <c r="K173" s="488"/>
      <c r="L173" s="488"/>
      <c r="M173" s="488"/>
      <c r="N173" s="488"/>
      <c r="O173" s="488"/>
      <c r="P173" s="488"/>
      <c r="Q173" s="488"/>
      <c r="R173" s="488"/>
      <c r="S173" s="488"/>
      <c r="T173" s="21"/>
      <c r="U173" s="21"/>
      <c r="V173" s="21"/>
      <c r="W173" s="21"/>
      <c r="X173" s="21"/>
      <c r="Y173" s="21"/>
      <c r="Z173" s="21"/>
      <c r="AA173" s="21"/>
    </row>
    <row r="174" spans="9:27" x14ac:dyDescent="0.25">
      <c r="I174" s="21"/>
      <c r="J174" s="488"/>
      <c r="K174" s="488"/>
      <c r="L174" s="488"/>
      <c r="M174" s="488"/>
      <c r="N174" s="488"/>
      <c r="O174" s="488"/>
      <c r="P174" s="488"/>
      <c r="Q174" s="488"/>
      <c r="R174" s="488"/>
      <c r="S174" s="488"/>
      <c r="T174" s="21"/>
      <c r="U174" s="21"/>
      <c r="V174" s="21"/>
      <c r="W174" s="21"/>
      <c r="X174" s="21"/>
      <c r="Y174" s="21"/>
      <c r="Z174" s="21"/>
      <c r="AA174" s="21"/>
    </row>
    <row r="175" spans="9:27" x14ac:dyDescent="0.25">
      <c r="I175" s="21"/>
      <c r="J175" s="488"/>
      <c r="K175" s="488"/>
      <c r="L175" s="488"/>
      <c r="M175" s="488"/>
      <c r="N175" s="488"/>
      <c r="O175" s="488"/>
      <c r="P175" s="488"/>
      <c r="Q175" s="488"/>
      <c r="R175" s="488"/>
      <c r="S175" s="488"/>
      <c r="T175" s="21"/>
      <c r="U175" s="21"/>
      <c r="V175" s="21"/>
      <c r="W175" s="21"/>
      <c r="X175" s="21"/>
      <c r="Y175" s="21"/>
      <c r="Z175" s="21"/>
      <c r="AA175" s="21"/>
    </row>
    <row r="176" spans="9:27" x14ac:dyDescent="0.25">
      <c r="I176" s="21"/>
      <c r="J176" s="488"/>
      <c r="K176" s="488"/>
      <c r="L176" s="488"/>
      <c r="M176" s="488"/>
      <c r="N176" s="488"/>
      <c r="O176" s="488"/>
      <c r="P176" s="488"/>
      <c r="Q176" s="488"/>
      <c r="R176" s="488"/>
      <c r="S176" s="488"/>
      <c r="T176" s="21"/>
      <c r="U176" s="21"/>
      <c r="V176" s="21"/>
      <c r="W176" s="21"/>
      <c r="X176" s="21"/>
      <c r="Y176" s="21"/>
      <c r="Z176" s="21"/>
      <c r="AA176" s="21"/>
    </row>
    <row r="177" spans="9:27" x14ac:dyDescent="0.25">
      <c r="I177" s="21"/>
      <c r="J177" s="488"/>
      <c r="K177" s="488"/>
      <c r="L177" s="488"/>
      <c r="M177" s="488"/>
      <c r="N177" s="488"/>
      <c r="O177" s="488"/>
      <c r="P177" s="488"/>
      <c r="Q177" s="488"/>
      <c r="R177" s="488"/>
      <c r="S177" s="488"/>
      <c r="T177" s="21"/>
      <c r="U177" s="21"/>
      <c r="V177" s="21"/>
      <c r="W177" s="21"/>
      <c r="X177" s="21"/>
      <c r="Y177" s="21"/>
      <c r="Z177" s="21"/>
      <c r="AA177" s="21"/>
    </row>
    <row r="178" spans="9:27" x14ac:dyDescent="0.25">
      <c r="I178" s="21"/>
      <c r="J178" s="488"/>
      <c r="K178" s="488"/>
      <c r="L178" s="488"/>
      <c r="M178" s="488"/>
      <c r="N178" s="488"/>
      <c r="O178" s="488"/>
      <c r="P178" s="488"/>
      <c r="Q178" s="488"/>
      <c r="R178" s="488"/>
      <c r="S178" s="488"/>
      <c r="T178" s="21"/>
      <c r="U178" s="21"/>
      <c r="V178" s="21"/>
      <c r="W178" s="21"/>
      <c r="X178" s="21"/>
      <c r="Y178" s="21"/>
      <c r="Z178" s="21"/>
      <c r="AA178" s="21"/>
    </row>
    <row r="179" spans="9:27" x14ac:dyDescent="0.25">
      <c r="I179" s="21"/>
      <c r="J179" s="488"/>
      <c r="K179" s="488"/>
      <c r="L179" s="488"/>
      <c r="M179" s="488"/>
      <c r="N179" s="488"/>
      <c r="O179" s="488"/>
      <c r="P179" s="488"/>
      <c r="Q179" s="488"/>
      <c r="R179" s="488"/>
      <c r="S179" s="488"/>
      <c r="T179" s="21"/>
      <c r="U179" s="21"/>
      <c r="V179" s="21"/>
      <c r="W179" s="21"/>
      <c r="X179" s="21"/>
      <c r="Y179" s="21"/>
      <c r="Z179" s="21"/>
      <c r="AA179" s="21"/>
    </row>
    <row r="180" spans="9:27" x14ac:dyDescent="0.25">
      <c r="I180" s="21"/>
      <c r="J180" s="488"/>
      <c r="K180" s="488"/>
      <c r="L180" s="488"/>
      <c r="M180" s="488"/>
      <c r="N180" s="488"/>
      <c r="O180" s="488"/>
      <c r="P180" s="488"/>
      <c r="Q180" s="488"/>
      <c r="R180" s="488"/>
      <c r="S180" s="488"/>
      <c r="T180" s="21"/>
      <c r="U180" s="21"/>
      <c r="V180" s="21"/>
      <c r="W180" s="21"/>
      <c r="X180" s="21"/>
      <c r="Y180" s="21"/>
      <c r="Z180" s="21"/>
      <c r="AA180" s="21"/>
    </row>
    <row r="181" spans="9:27" x14ac:dyDescent="0.25">
      <c r="I181" s="21"/>
      <c r="J181" s="488"/>
      <c r="K181" s="488"/>
      <c r="L181" s="488"/>
      <c r="M181" s="488"/>
      <c r="N181" s="488"/>
      <c r="O181" s="488"/>
      <c r="P181" s="488"/>
      <c r="Q181" s="488"/>
      <c r="R181" s="488"/>
      <c r="S181" s="488"/>
      <c r="T181" s="21"/>
      <c r="U181" s="21"/>
      <c r="V181" s="21"/>
      <c r="W181" s="21"/>
      <c r="X181" s="21"/>
      <c r="Y181" s="21"/>
      <c r="Z181" s="21"/>
      <c r="AA181" s="21"/>
    </row>
    <row r="182" spans="9:27" x14ac:dyDescent="0.25">
      <c r="I182" s="21"/>
      <c r="J182" s="488"/>
      <c r="K182" s="488"/>
      <c r="L182" s="488"/>
      <c r="M182" s="488"/>
      <c r="N182" s="488"/>
      <c r="O182" s="488"/>
      <c r="P182" s="488"/>
      <c r="Q182" s="488"/>
      <c r="R182" s="488"/>
      <c r="S182" s="488"/>
      <c r="T182" s="21"/>
      <c r="U182" s="21"/>
      <c r="V182" s="21"/>
      <c r="W182" s="21"/>
      <c r="X182" s="21"/>
      <c r="Y182" s="21"/>
      <c r="Z182" s="21"/>
      <c r="AA182" s="21"/>
    </row>
    <row r="183" spans="9:27" x14ac:dyDescent="0.25">
      <c r="I183" s="21"/>
      <c r="J183" s="488"/>
      <c r="K183" s="488"/>
      <c r="L183" s="488"/>
      <c r="M183" s="488"/>
      <c r="N183" s="488"/>
      <c r="O183" s="488"/>
      <c r="P183" s="488"/>
      <c r="Q183" s="488"/>
      <c r="R183" s="488"/>
      <c r="S183" s="488"/>
      <c r="T183" s="21"/>
      <c r="U183" s="21"/>
      <c r="V183" s="21"/>
      <c r="W183" s="21"/>
      <c r="X183" s="21"/>
      <c r="Y183" s="21"/>
      <c r="Z183" s="21"/>
      <c r="AA183" s="21"/>
    </row>
    <row r="184" spans="9:27" x14ac:dyDescent="0.25">
      <c r="I184" s="21"/>
      <c r="J184" s="488"/>
      <c r="K184" s="488"/>
      <c r="L184" s="488"/>
      <c r="M184" s="488"/>
      <c r="N184" s="488"/>
      <c r="O184" s="488"/>
      <c r="P184" s="488"/>
      <c r="Q184" s="488"/>
      <c r="R184" s="488"/>
      <c r="S184" s="488"/>
      <c r="T184" s="21"/>
      <c r="U184" s="21"/>
      <c r="V184" s="21"/>
      <c r="W184" s="21"/>
      <c r="X184" s="21"/>
      <c r="Y184" s="21"/>
      <c r="Z184" s="21"/>
      <c r="AA184" s="21"/>
    </row>
    <row r="185" spans="9:27" x14ac:dyDescent="0.25">
      <c r="I185" s="21"/>
      <c r="J185" s="488"/>
      <c r="K185" s="488"/>
      <c r="L185" s="488"/>
      <c r="M185" s="488"/>
      <c r="N185" s="488"/>
      <c r="O185" s="488"/>
      <c r="P185" s="488"/>
      <c r="Q185" s="488"/>
      <c r="R185" s="488"/>
      <c r="S185" s="488"/>
      <c r="T185" s="21"/>
      <c r="U185" s="21"/>
      <c r="V185" s="21"/>
      <c r="W185" s="21"/>
      <c r="X185" s="21"/>
      <c r="Y185" s="21"/>
      <c r="Z185" s="21"/>
      <c r="AA185" s="21"/>
    </row>
    <row r="186" spans="9:27" x14ac:dyDescent="0.25">
      <c r="I186" s="21"/>
      <c r="J186" s="488"/>
      <c r="K186" s="488"/>
      <c r="L186" s="488"/>
      <c r="M186" s="488"/>
      <c r="N186" s="488"/>
      <c r="O186" s="488"/>
      <c r="P186" s="488"/>
      <c r="Q186" s="488"/>
      <c r="R186" s="488"/>
      <c r="S186" s="488"/>
      <c r="T186" s="21"/>
      <c r="U186" s="21"/>
      <c r="V186" s="21"/>
      <c r="W186" s="21"/>
      <c r="X186" s="21"/>
      <c r="Y186" s="21"/>
      <c r="Z186" s="21"/>
      <c r="AA186" s="21"/>
    </row>
    <row r="187" spans="9:27" x14ac:dyDescent="0.25">
      <c r="I187" s="21"/>
      <c r="J187" s="488"/>
      <c r="K187" s="488"/>
      <c r="L187" s="488"/>
      <c r="M187" s="488"/>
      <c r="N187" s="488"/>
      <c r="O187" s="488"/>
      <c r="P187" s="488"/>
      <c r="Q187" s="488"/>
      <c r="R187" s="488"/>
      <c r="S187" s="488"/>
      <c r="T187" s="21"/>
      <c r="U187" s="21"/>
      <c r="V187" s="21"/>
      <c r="W187" s="21"/>
      <c r="X187" s="21"/>
      <c r="Y187" s="21"/>
      <c r="Z187" s="21"/>
      <c r="AA187" s="21"/>
    </row>
    <row r="188" spans="9:27" x14ac:dyDescent="0.25">
      <c r="I188" s="21"/>
      <c r="J188" s="488"/>
      <c r="K188" s="488"/>
      <c r="L188" s="488"/>
      <c r="M188" s="488"/>
      <c r="N188" s="488"/>
      <c r="O188" s="488"/>
      <c r="P188" s="488"/>
      <c r="Q188" s="488"/>
      <c r="R188" s="488"/>
      <c r="S188" s="488"/>
      <c r="T188" s="21"/>
      <c r="U188" s="21"/>
      <c r="V188" s="21"/>
      <c r="W188" s="21"/>
      <c r="X188" s="21"/>
      <c r="Y188" s="21"/>
      <c r="Z188" s="21"/>
      <c r="AA188" s="21"/>
    </row>
    <row r="189" spans="9:27" x14ac:dyDescent="0.25">
      <c r="I189" s="21"/>
      <c r="J189" s="488"/>
      <c r="K189" s="488"/>
      <c r="L189" s="488"/>
      <c r="M189" s="488"/>
      <c r="N189" s="488"/>
      <c r="O189" s="488"/>
      <c r="P189" s="488"/>
      <c r="Q189" s="488"/>
      <c r="R189" s="488"/>
      <c r="S189" s="488"/>
      <c r="T189" s="21"/>
      <c r="U189" s="21"/>
      <c r="V189" s="21"/>
      <c r="W189" s="21"/>
      <c r="X189" s="21"/>
      <c r="Y189" s="21"/>
      <c r="Z189" s="21"/>
      <c r="AA189" s="21"/>
    </row>
    <row r="190" spans="9:27" x14ac:dyDescent="0.25">
      <c r="I190" s="21"/>
      <c r="J190" s="488"/>
      <c r="K190" s="488"/>
      <c r="L190" s="488"/>
      <c r="M190" s="488"/>
      <c r="N190" s="488"/>
      <c r="O190" s="488"/>
      <c r="P190" s="488"/>
      <c r="Q190" s="488"/>
      <c r="R190" s="488"/>
      <c r="S190" s="488"/>
      <c r="T190" s="21"/>
      <c r="U190" s="21"/>
      <c r="V190" s="21"/>
      <c r="W190" s="21"/>
      <c r="X190" s="21"/>
      <c r="Y190" s="21"/>
      <c r="Z190" s="21"/>
      <c r="AA190" s="21"/>
    </row>
    <row r="191" spans="9:27" x14ac:dyDescent="0.25">
      <c r="I191" s="21"/>
      <c r="J191" s="488"/>
      <c r="K191" s="488"/>
      <c r="L191" s="488"/>
      <c r="M191" s="488"/>
      <c r="N191" s="488"/>
      <c r="O191" s="488"/>
      <c r="P191" s="488"/>
      <c r="Q191" s="488"/>
      <c r="R191" s="488"/>
      <c r="S191" s="488"/>
      <c r="T191" s="21"/>
      <c r="U191" s="21"/>
      <c r="V191" s="21"/>
      <c r="W191" s="21"/>
      <c r="X191" s="21"/>
      <c r="Y191" s="21"/>
      <c r="Z191" s="21"/>
      <c r="AA191" s="21"/>
    </row>
    <row r="192" spans="9:27" x14ac:dyDescent="0.25">
      <c r="I192" s="21"/>
      <c r="J192" s="488"/>
      <c r="K192" s="488"/>
      <c r="L192" s="488"/>
      <c r="M192" s="488"/>
      <c r="N192" s="488"/>
      <c r="O192" s="488"/>
      <c r="P192" s="488"/>
      <c r="Q192" s="488"/>
      <c r="R192" s="488"/>
      <c r="S192" s="488"/>
      <c r="T192" s="21"/>
      <c r="U192" s="21"/>
      <c r="V192" s="21"/>
      <c r="W192" s="21"/>
      <c r="X192" s="21"/>
      <c r="Y192" s="21"/>
      <c r="Z192" s="21"/>
      <c r="AA192" s="21"/>
    </row>
    <row r="193" spans="9:27" x14ac:dyDescent="0.25">
      <c r="I193" s="21"/>
      <c r="J193" s="488"/>
      <c r="K193" s="488"/>
      <c r="L193" s="488"/>
      <c r="M193" s="488"/>
      <c r="N193" s="488"/>
      <c r="O193" s="488"/>
      <c r="P193" s="488"/>
      <c r="Q193" s="488"/>
      <c r="R193" s="488"/>
      <c r="S193" s="488"/>
      <c r="T193" s="21"/>
      <c r="U193" s="21"/>
      <c r="V193" s="21"/>
      <c r="W193" s="21"/>
      <c r="X193" s="21"/>
      <c r="Y193" s="21"/>
      <c r="Z193" s="21"/>
      <c r="AA193" s="21"/>
    </row>
    <row r="194" spans="9:27" x14ac:dyDescent="0.25">
      <c r="I194" s="21"/>
      <c r="J194" s="488"/>
      <c r="K194" s="488"/>
      <c r="L194" s="488"/>
      <c r="M194" s="488"/>
      <c r="N194" s="488"/>
      <c r="O194" s="488"/>
      <c r="P194" s="488"/>
      <c r="Q194" s="488"/>
      <c r="R194" s="488"/>
      <c r="S194" s="488"/>
      <c r="T194" s="21"/>
      <c r="U194" s="21"/>
      <c r="V194" s="21"/>
      <c r="W194" s="21"/>
      <c r="X194" s="21"/>
      <c r="Y194" s="21"/>
      <c r="Z194" s="21"/>
      <c r="AA194" s="21"/>
    </row>
    <row r="195" spans="9:27" x14ac:dyDescent="0.25">
      <c r="I195" s="21"/>
      <c r="J195" s="488"/>
      <c r="K195" s="488"/>
      <c r="L195" s="488"/>
      <c r="M195" s="488"/>
      <c r="N195" s="488"/>
      <c r="O195" s="488"/>
      <c r="P195" s="488"/>
      <c r="Q195" s="488"/>
      <c r="R195" s="488"/>
      <c r="S195" s="488"/>
      <c r="T195" s="21"/>
      <c r="U195" s="21"/>
      <c r="V195" s="21"/>
      <c r="W195" s="21"/>
      <c r="X195" s="21"/>
      <c r="Y195" s="21"/>
      <c r="Z195" s="21"/>
      <c r="AA195" s="21"/>
    </row>
    <row r="196" spans="9:27" x14ac:dyDescent="0.25">
      <c r="I196" s="21"/>
      <c r="J196" s="488"/>
      <c r="K196" s="488"/>
      <c r="L196" s="488"/>
      <c r="M196" s="488"/>
      <c r="N196" s="488"/>
      <c r="O196" s="488"/>
      <c r="P196" s="488"/>
      <c r="Q196" s="488"/>
      <c r="R196" s="488"/>
      <c r="S196" s="488"/>
      <c r="T196" s="21"/>
      <c r="U196" s="21"/>
      <c r="V196" s="21"/>
      <c r="W196" s="21"/>
      <c r="X196" s="21"/>
      <c r="Y196" s="21"/>
      <c r="Z196" s="21"/>
      <c r="AA196" s="21"/>
    </row>
    <row r="197" spans="9:27" x14ac:dyDescent="0.25">
      <c r="I197" s="21"/>
      <c r="J197" s="488"/>
      <c r="K197" s="488"/>
      <c r="L197" s="488"/>
      <c r="M197" s="488"/>
      <c r="N197" s="488"/>
      <c r="O197" s="488"/>
      <c r="P197" s="488"/>
      <c r="Q197" s="488"/>
      <c r="R197" s="488"/>
      <c r="S197" s="488"/>
      <c r="T197" s="21"/>
      <c r="U197" s="21"/>
      <c r="V197" s="21"/>
      <c r="W197" s="21"/>
      <c r="X197" s="21"/>
      <c r="Y197" s="21"/>
      <c r="Z197" s="21"/>
      <c r="AA197" s="21"/>
    </row>
    <row r="198" spans="9:27" x14ac:dyDescent="0.25">
      <c r="I198" s="21"/>
      <c r="J198" s="488"/>
      <c r="K198" s="488"/>
      <c r="L198" s="488"/>
      <c r="M198" s="488"/>
      <c r="N198" s="488"/>
      <c r="O198" s="488"/>
      <c r="P198" s="488"/>
      <c r="Q198" s="488"/>
      <c r="R198" s="488"/>
      <c r="S198" s="488"/>
      <c r="T198" s="21"/>
      <c r="U198" s="21"/>
      <c r="V198" s="21"/>
      <c r="W198" s="21"/>
      <c r="X198" s="21"/>
      <c r="Y198" s="21"/>
      <c r="Z198" s="21"/>
      <c r="AA198" s="21"/>
    </row>
    <row r="199" spans="9:27" x14ac:dyDescent="0.25">
      <c r="I199" s="21"/>
      <c r="J199" s="488"/>
      <c r="K199" s="488"/>
      <c r="L199" s="488"/>
      <c r="M199" s="488"/>
      <c r="N199" s="488"/>
      <c r="O199" s="488"/>
      <c r="P199" s="488"/>
      <c r="Q199" s="488"/>
      <c r="R199" s="488"/>
      <c r="S199" s="488"/>
      <c r="T199" s="21"/>
      <c r="U199" s="21"/>
      <c r="V199" s="21"/>
      <c r="W199" s="21"/>
      <c r="X199" s="21"/>
      <c r="Y199" s="21"/>
      <c r="Z199" s="21"/>
      <c r="AA199" s="21"/>
    </row>
    <row r="200" spans="9:27" x14ac:dyDescent="0.25">
      <c r="I200" s="21"/>
      <c r="J200" s="488"/>
      <c r="K200" s="488"/>
      <c r="L200" s="488"/>
      <c r="M200" s="488"/>
      <c r="N200" s="488"/>
      <c r="O200" s="488"/>
      <c r="P200" s="488"/>
      <c r="Q200" s="488"/>
      <c r="R200" s="488"/>
      <c r="S200" s="488"/>
      <c r="T200" s="21"/>
      <c r="U200" s="21"/>
      <c r="V200" s="21"/>
      <c r="W200" s="21"/>
      <c r="X200" s="21"/>
      <c r="Y200" s="21"/>
      <c r="Z200" s="21"/>
      <c r="AA200" s="21"/>
    </row>
    <row r="201" spans="9:27" x14ac:dyDescent="0.25">
      <c r="I201" s="21"/>
      <c r="J201" s="488"/>
      <c r="K201" s="488"/>
      <c r="L201" s="488"/>
      <c r="M201" s="488"/>
      <c r="N201" s="488"/>
      <c r="O201" s="488"/>
      <c r="P201" s="488"/>
      <c r="Q201" s="488"/>
      <c r="R201" s="488"/>
      <c r="S201" s="488"/>
      <c r="T201" s="21"/>
      <c r="U201" s="21"/>
      <c r="V201" s="21"/>
      <c r="W201" s="21"/>
      <c r="X201" s="21"/>
      <c r="Y201" s="21"/>
      <c r="Z201" s="21"/>
      <c r="AA201" s="21"/>
    </row>
    <row r="202" spans="9:27" x14ac:dyDescent="0.25">
      <c r="I202" s="21"/>
      <c r="J202" s="488"/>
      <c r="K202" s="488"/>
      <c r="L202" s="488"/>
      <c r="M202" s="488"/>
      <c r="N202" s="488"/>
      <c r="O202" s="488"/>
      <c r="P202" s="488"/>
      <c r="Q202" s="488"/>
      <c r="R202" s="488"/>
      <c r="S202" s="488"/>
      <c r="T202" s="21"/>
      <c r="U202" s="21"/>
      <c r="V202" s="21"/>
      <c r="W202" s="21"/>
      <c r="X202" s="21"/>
      <c r="Y202" s="21"/>
      <c r="Z202" s="21"/>
      <c r="AA202" s="21"/>
    </row>
    <row r="203" spans="9:27" x14ac:dyDescent="0.25">
      <c r="I203" s="21"/>
      <c r="J203" s="488"/>
      <c r="K203" s="488"/>
      <c r="L203" s="488"/>
      <c r="M203" s="488"/>
      <c r="N203" s="488"/>
      <c r="O203" s="488"/>
      <c r="P203" s="488"/>
      <c r="Q203" s="488"/>
      <c r="R203" s="488"/>
      <c r="S203" s="488"/>
      <c r="T203" s="21"/>
      <c r="U203" s="21"/>
      <c r="V203" s="21"/>
      <c r="W203" s="21"/>
      <c r="X203" s="21"/>
      <c r="Y203" s="21"/>
      <c r="Z203" s="21"/>
      <c r="AA203" s="21"/>
    </row>
    <row r="204" spans="9:27" x14ac:dyDescent="0.25">
      <c r="I204" s="21"/>
      <c r="J204" s="488"/>
      <c r="K204" s="488"/>
      <c r="L204" s="488"/>
      <c r="M204" s="488"/>
      <c r="N204" s="488"/>
      <c r="O204" s="488"/>
      <c r="P204" s="488"/>
      <c r="Q204" s="488"/>
      <c r="R204" s="488"/>
      <c r="S204" s="488"/>
      <c r="T204" s="21"/>
      <c r="U204" s="21"/>
      <c r="V204" s="21"/>
      <c r="W204" s="21"/>
      <c r="X204" s="21"/>
      <c r="Y204" s="21"/>
      <c r="Z204" s="21"/>
      <c r="AA204" s="21"/>
    </row>
    <row r="205" spans="9:27" x14ac:dyDescent="0.25">
      <c r="I205" s="21"/>
      <c r="J205" s="488"/>
      <c r="K205" s="488"/>
      <c r="L205" s="488"/>
      <c r="M205" s="488"/>
      <c r="N205" s="488"/>
      <c r="O205" s="488"/>
      <c r="P205" s="488"/>
      <c r="Q205" s="488"/>
      <c r="R205" s="488"/>
      <c r="S205" s="488"/>
      <c r="T205" s="21"/>
      <c r="U205" s="21"/>
      <c r="V205" s="21"/>
      <c r="W205" s="21"/>
      <c r="X205" s="21"/>
      <c r="Y205" s="21"/>
      <c r="Z205" s="21"/>
      <c r="AA205" s="21"/>
    </row>
    <row r="206" spans="9:27" x14ac:dyDescent="0.25">
      <c r="I206" s="21"/>
      <c r="J206" s="488"/>
      <c r="K206" s="488"/>
      <c r="L206" s="488"/>
      <c r="M206" s="488"/>
      <c r="N206" s="488"/>
      <c r="O206" s="488"/>
      <c r="P206" s="488"/>
      <c r="Q206" s="488"/>
      <c r="R206" s="488"/>
      <c r="S206" s="488"/>
      <c r="T206" s="21"/>
      <c r="U206" s="21"/>
      <c r="V206" s="21"/>
      <c r="W206" s="21"/>
      <c r="X206" s="21"/>
      <c r="Y206" s="21"/>
      <c r="Z206" s="21"/>
      <c r="AA206" s="21"/>
    </row>
    <row r="207" spans="9:27" x14ac:dyDescent="0.25">
      <c r="I207" s="21"/>
      <c r="J207" s="488"/>
      <c r="K207" s="488"/>
      <c r="L207" s="488"/>
      <c r="M207" s="488"/>
      <c r="N207" s="488"/>
      <c r="O207" s="488"/>
      <c r="P207" s="488"/>
      <c r="Q207" s="488"/>
      <c r="R207" s="488"/>
      <c r="S207" s="488"/>
      <c r="T207" s="21"/>
      <c r="U207" s="21"/>
      <c r="V207" s="21"/>
      <c r="W207" s="21"/>
      <c r="X207" s="21"/>
      <c r="Y207" s="21"/>
      <c r="Z207" s="21"/>
      <c r="AA207" s="21"/>
    </row>
    <row r="208" spans="9:27" x14ac:dyDescent="0.25">
      <c r="I208" s="21"/>
      <c r="J208" s="488"/>
      <c r="K208" s="488"/>
      <c r="L208" s="488"/>
      <c r="M208" s="488"/>
      <c r="N208" s="488"/>
      <c r="O208" s="488"/>
      <c r="P208" s="488"/>
      <c r="Q208" s="488"/>
      <c r="R208" s="488"/>
      <c r="S208" s="488"/>
      <c r="T208" s="21"/>
      <c r="U208" s="21"/>
      <c r="V208" s="21"/>
      <c r="W208" s="21"/>
      <c r="X208" s="21"/>
      <c r="Y208" s="21"/>
      <c r="Z208" s="21"/>
      <c r="AA208" s="21"/>
    </row>
    <row r="209" spans="9:27" x14ac:dyDescent="0.25">
      <c r="I209" s="21"/>
      <c r="J209" s="488"/>
      <c r="K209" s="488"/>
      <c r="L209" s="488"/>
      <c r="M209" s="488"/>
      <c r="N209" s="488"/>
      <c r="O209" s="488"/>
      <c r="P209" s="488"/>
      <c r="Q209" s="488"/>
      <c r="R209" s="488"/>
      <c r="S209" s="488"/>
      <c r="T209" s="21"/>
      <c r="U209" s="21"/>
      <c r="V209" s="21"/>
      <c r="W209" s="21"/>
      <c r="X209" s="21"/>
      <c r="Y209" s="21"/>
      <c r="Z209" s="21"/>
      <c r="AA209" s="21"/>
    </row>
    <row r="210" spans="9:27" x14ac:dyDescent="0.25">
      <c r="I210" s="21"/>
      <c r="J210" s="488"/>
      <c r="K210" s="488"/>
      <c r="L210" s="488"/>
      <c r="M210" s="488"/>
      <c r="N210" s="488"/>
      <c r="O210" s="488"/>
      <c r="P210" s="488"/>
      <c r="Q210" s="488"/>
      <c r="R210" s="488"/>
      <c r="S210" s="488"/>
      <c r="T210" s="21"/>
      <c r="U210" s="21"/>
      <c r="V210" s="21"/>
      <c r="W210" s="21"/>
      <c r="X210" s="21"/>
      <c r="Y210" s="21"/>
      <c r="Z210" s="21"/>
      <c r="AA210" s="21"/>
    </row>
    <row r="211" spans="9:27" x14ac:dyDescent="0.25">
      <c r="I211" s="21"/>
      <c r="J211" s="488"/>
      <c r="K211" s="488"/>
      <c r="L211" s="488"/>
      <c r="M211" s="488"/>
      <c r="N211" s="488"/>
      <c r="O211" s="488"/>
      <c r="P211" s="488"/>
      <c r="Q211" s="488"/>
      <c r="R211" s="488"/>
      <c r="S211" s="488"/>
      <c r="T211" s="21"/>
      <c r="U211" s="21"/>
      <c r="V211" s="21"/>
      <c r="W211" s="21"/>
      <c r="X211" s="21"/>
      <c r="Y211" s="21"/>
      <c r="Z211" s="21"/>
      <c r="AA211" s="21"/>
    </row>
    <row r="212" spans="9:27" x14ac:dyDescent="0.25">
      <c r="I212" s="21"/>
      <c r="J212" s="488"/>
      <c r="K212" s="488"/>
      <c r="L212" s="488"/>
      <c r="M212" s="488"/>
      <c r="N212" s="488"/>
      <c r="O212" s="488"/>
      <c r="P212" s="488"/>
      <c r="Q212" s="488"/>
      <c r="R212" s="488"/>
      <c r="S212" s="488"/>
      <c r="T212" s="21"/>
      <c r="U212" s="21"/>
      <c r="V212" s="21"/>
      <c r="W212" s="21"/>
      <c r="X212" s="21"/>
      <c r="Y212" s="21"/>
      <c r="Z212" s="21"/>
      <c r="AA212" s="21"/>
    </row>
    <row r="213" spans="9:27" x14ac:dyDescent="0.25">
      <c r="I213" s="21"/>
      <c r="J213" s="488"/>
      <c r="K213" s="488"/>
      <c r="L213" s="488"/>
      <c r="M213" s="488"/>
      <c r="N213" s="488"/>
      <c r="O213" s="488"/>
      <c r="P213" s="488"/>
      <c r="Q213" s="488"/>
      <c r="R213" s="488"/>
      <c r="S213" s="488"/>
      <c r="T213" s="21"/>
      <c r="U213" s="21"/>
      <c r="V213" s="21"/>
      <c r="W213" s="21"/>
      <c r="X213" s="21"/>
      <c r="Y213" s="21"/>
      <c r="Z213" s="21"/>
      <c r="AA213" s="21"/>
    </row>
    <row r="214" spans="9:27" x14ac:dyDescent="0.25">
      <c r="I214" s="21"/>
      <c r="J214" s="488"/>
      <c r="K214" s="488"/>
      <c r="L214" s="488"/>
      <c r="M214" s="488"/>
      <c r="N214" s="488"/>
      <c r="O214" s="488"/>
      <c r="P214" s="488"/>
      <c r="Q214" s="488"/>
      <c r="R214" s="488"/>
      <c r="S214" s="488"/>
      <c r="T214" s="21"/>
      <c r="U214" s="21"/>
      <c r="V214" s="21"/>
      <c r="W214" s="21"/>
      <c r="X214" s="21"/>
      <c r="Y214" s="21"/>
      <c r="Z214" s="21"/>
      <c r="AA214" s="21"/>
    </row>
    <row r="215" spans="9:27" x14ac:dyDescent="0.25">
      <c r="I215" s="21"/>
      <c r="J215" s="488"/>
      <c r="K215" s="488"/>
      <c r="L215" s="488"/>
      <c r="M215" s="488"/>
      <c r="N215" s="488"/>
      <c r="O215" s="488"/>
      <c r="P215" s="488"/>
      <c r="Q215" s="488"/>
      <c r="R215" s="488"/>
      <c r="S215" s="488"/>
      <c r="T215" s="21"/>
      <c r="U215" s="21"/>
      <c r="V215" s="21"/>
      <c r="W215" s="21"/>
      <c r="X215" s="21"/>
      <c r="Y215" s="21"/>
      <c r="Z215" s="21"/>
      <c r="AA215" s="21"/>
    </row>
    <row r="216" spans="9:27" x14ac:dyDescent="0.25">
      <c r="I216" s="21"/>
      <c r="J216" s="488"/>
      <c r="K216" s="488"/>
      <c r="L216" s="488"/>
      <c r="M216" s="488"/>
      <c r="N216" s="488"/>
      <c r="O216" s="488"/>
      <c r="P216" s="488"/>
      <c r="Q216" s="488"/>
      <c r="R216" s="488"/>
      <c r="S216" s="488"/>
      <c r="T216" s="21"/>
      <c r="U216" s="21"/>
      <c r="V216" s="21"/>
      <c r="W216" s="21"/>
      <c r="X216" s="21"/>
      <c r="Y216" s="21"/>
      <c r="Z216" s="21"/>
      <c r="AA216" s="21"/>
    </row>
    <row r="217" spans="9:27" x14ac:dyDescent="0.25">
      <c r="I217" s="21"/>
      <c r="J217" s="488"/>
      <c r="K217" s="488"/>
      <c r="L217" s="488"/>
      <c r="M217" s="488"/>
      <c r="N217" s="488"/>
      <c r="O217" s="488"/>
      <c r="P217" s="488"/>
      <c r="Q217" s="488"/>
      <c r="R217" s="488"/>
      <c r="S217" s="488"/>
      <c r="T217" s="21"/>
      <c r="U217" s="21"/>
      <c r="V217" s="21"/>
      <c r="W217" s="21"/>
      <c r="X217" s="21"/>
      <c r="Y217" s="21"/>
      <c r="Z217" s="21"/>
      <c r="AA217" s="21"/>
    </row>
    <row r="218" spans="9:27" x14ac:dyDescent="0.25">
      <c r="I218" s="21"/>
      <c r="J218" s="488"/>
      <c r="K218" s="488"/>
      <c r="L218" s="488"/>
      <c r="M218" s="488"/>
      <c r="N218" s="488"/>
      <c r="O218" s="488"/>
      <c r="P218" s="488"/>
      <c r="Q218" s="488"/>
      <c r="R218" s="488"/>
      <c r="S218" s="488"/>
      <c r="T218" s="21"/>
      <c r="U218" s="21"/>
      <c r="V218" s="21"/>
      <c r="W218" s="21"/>
      <c r="X218" s="21"/>
      <c r="Y218" s="21"/>
      <c r="Z218" s="21"/>
      <c r="AA218" s="21"/>
    </row>
    <row r="219" spans="9:27" x14ac:dyDescent="0.25">
      <c r="I219" s="21"/>
      <c r="J219" s="488"/>
      <c r="K219" s="488"/>
      <c r="L219" s="488"/>
      <c r="M219" s="488"/>
      <c r="N219" s="488"/>
      <c r="O219" s="488"/>
      <c r="P219" s="488"/>
      <c r="Q219" s="488"/>
      <c r="R219" s="488"/>
      <c r="S219" s="488"/>
      <c r="T219" s="21"/>
      <c r="U219" s="21"/>
      <c r="V219" s="21"/>
      <c r="W219" s="21"/>
      <c r="X219" s="21"/>
      <c r="Y219" s="21"/>
      <c r="Z219" s="21"/>
      <c r="AA219" s="21"/>
    </row>
    <row r="220" spans="9:27" x14ac:dyDescent="0.25">
      <c r="I220" s="21"/>
      <c r="J220" s="488"/>
      <c r="K220" s="488"/>
      <c r="L220" s="488"/>
      <c r="M220" s="488"/>
      <c r="N220" s="488"/>
      <c r="O220" s="488"/>
      <c r="P220" s="488"/>
      <c r="Q220" s="488"/>
      <c r="R220" s="488"/>
      <c r="S220" s="488"/>
      <c r="T220" s="21"/>
      <c r="U220" s="21"/>
      <c r="V220" s="21"/>
      <c r="W220" s="21"/>
      <c r="X220" s="21"/>
      <c r="Y220" s="21"/>
      <c r="Z220" s="21"/>
      <c r="AA220" s="21"/>
    </row>
    <row r="221" spans="9:27" x14ac:dyDescent="0.25">
      <c r="I221" s="21"/>
      <c r="J221" s="488"/>
      <c r="K221" s="488"/>
      <c r="L221" s="488"/>
      <c r="M221" s="488"/>
      <c r="N221" s="488"/>
      <c r="O221" s="488"/>
      <c r="P221" s="488"/>
      <c r="Q221" s="488"/>
      <c r="R221" s="488"/>
      <c r="S221" s="488"/>
      <c r="T221" s="21"/>
      <c r="U221" s="21"/>
      <c r="V221" s="21"/>
      <c r="W221" s="21"/>
      <c r="X221" s="21"/>
      <c r="Y221" s="21"/>
      <c r="Z221" s="21"/>
      <c r="AA221" s="21"/>
    </row>
    <row r="222" spans="9:27" x14ac:dyDescent="0.25">
      <c r="I222" s="21"/>
      <c r="J222" s="488"/>
      <c r="K222" s="488"/>
      <c r="L222" s="488"/>
      <c r="M222" s="488"/>
      <c r="N222" s="488"/>
      <c r="O222" s="488"/>
      <c r="P222" s="488"/>
      <c r="Q222" s="488"/>
      <c r="R222" s="488"/>
      <c r="S222" s="488"/>
      <c r="T222" s="21"/>
      <c r="U222" s="21"/>
      <c r="V222" s="21"/>
      <c r="W222" s="21"/>
      <c r="X222" s="21"/>
      <c r="Y222" s="21"/>
      <c r="Z222" s="21"/>
      <c r="AA222" s="21"/>
    </row>
    <row r="223" spans="9:27" x14ac:dyDescent="0.25">
      <c r="I223" s="21"/>
      <c r="J223" s="488"/>
      <c r="K223" s="488"/>
      <c r="L223" s="488"/>
      <c r="M223" s="488"/>
      <c r="N223" s="488"/>
      <c r="O223" s="488"/>
      <c r="P223" s="488"/>
      <c r="Q223" s="488"/>
      <c r="R223" s="488"/>
      <c r="S223" s="488"/>
      <c r="T223" s="21"/>
      <c r="U223" s="21"/>
      <c r="V223" s="21"/>
      <c r="W223" s="21"/>
      <c r="X223" s="21"/>
      <c r="Y223" s="21"/>
      <c r="Z223" s="21"/>
      <c r="AA223" s="21"/>
    </row>
    <row r="224" spans="9:27" x14ac:dyDescent="0.25">
      <c r="I224" s="21"/>
      <c r="J224" s="488"/>
      <c r="K224" s="488"/>
      <c r="L224" s="488"/>
      <c r="M224" s="488"/>
      <c r="N224" s="488"/>
      <c r="O224" s="488"/>
      <c r="P224" s="488"/>
      <c r="Q224" s="488"/>
      <c r="R224" s="488"/>
      <c r="S224" s="488"/>
      <c r="T224" s="21"/>
      <c r="U224" s="21"/>
      <c r="V224" s="21"/>
      <c r="W224" s="21"/>
      <c r="X224" s="21"/>
      <c r="Y224" s="21"/>
      <c r="Z224" s="21"/>
      <c r="AA224" s="21"/>
    </row>
    <row r="225" spans="9:27" x14ac:dyDescent="0.25">
      <c r="I225" s="21"/>
      <c r="J225" s="488"/>
      <c r="K225" s="488"/>
      <c r="L225" s="488"/>
      <c r="M225" s="488"/>
      <c r="N225" s="488"/>
      <c r="O225" s="488"/>
      <c r="P225" s="488"/>
      <c r="Q225" s="488"/>
      <c r="R225" s="488"/>
      <c r="S225" s="488"/>
      <c r="T225" s="21"/>
      <c r="U225" s="21"/>
      <c r="V225" s="21"/>
      <c r="W225" s="21"/>
      <c r="X225" s="21"/>
      <c r="Y225" s="21"/>
      <c r="Z225" s="21"/>
      <c r="AA225" s="21"/>
    </row>
    <row r="226" spans="9:27" x14ac:dyDescent="0.25">
      <c r="I226" s="21"/>
      <c r="J226" s="488"/>
      <c r="K226" s="488"/>
      <c r="L226" s="488"/>
      <c r="M226" s="488"/>
      <c r="N226" s="488"/>
      <c r="O226" s="488"/>
      <c r="P226" s="488"/>
      <c r="Q226" s="488"/>
      <c r="R226" s="488"/>
      <c r="S226" s="488"/>
      <c r="T226" s="21"/>
      <c r="U226" s="21"/>
      <c r="V226" s="21"/>
      <c r="W226" s="21"/>
      <c r="X226" s="21"/>
      <c r="Y226" s="21"/>
      <c r="Z226" s="21"/>
      <c r="AA226" s="21"/>
    </row>
    <row r="227" spans="9:27" x14ac:dyDescent="0.25">
      <c r="I227" s="21"/>
      <c r="J227" s="488"/>
      <c r="K227" s="488"/>
      <c r="L227" s="488"/>
      <c r="M227" s="488"/>
      <c r="N227" s="488"/>
      <c r="O227" s="488"/>
      <c r="P227" s="488"/>
      <c r="Q227" s="488"/>
      <c r="R227" s="488"/>
      <c r="S227" s="488"/>
      <c r="T227" s="21"/>
      <c r="U227" s="21"/>
      <c r="V227" s="21"/>
      <c r="W227" s="21"/>
      <c r="X227" s="21"/>
      <c r="Y227" s="21"/>
      <c r="Z227" s="21"/>
      <c r="AA227" s="21"/>
    </row>
    <row r="228" spans="9:27" x14ac:dyDescent="0.25">
      <c r="I228" s="21"/>
      <c r="J228" s="488"/>
      <c r="K228" s="488"/>
      <c r="L228" s="488"/>
      <c r="M228" s="488"/>
      <c r="N228" s="488"/>
      <c r="O228" s="488"/>
      <c r="P228" s="488"/>
      <c r="Q228" s="488"/>
      <c r="R228" s="488"/>
      <c r="S228" s="488"/>
      <c r="T228" s="21"/>
      <c r="U228" s="21"/>
      <c r="V228" s="21"/>
      <c r="W228" s="21"/>
      <c r="X228" s="21"/>
      <c r="Y228" s="21"/>
      <c r="Z228" s="21"/>
      <c r="AA228" s="21"/>
    </row>
    <row r="229" spans="9:27" x14ac:dyDescent="0.25">
      <c r="I229" s="21"/>
      <c r="J229" s="488"/>
      <c r="K229" s="488"/>
      <c r="L229" s="488"/>
      <c r="M229" s="488"/>
      <c r="N229" s="488"/>
      <c r="O229" s="488"/>
      <c r="P229" s="488"/>
      <c r="Q229" s="488"/>
      <c r="R229" s="488"/>
      <c r="S229" s="488"/>
      <c r="T229" s="21"/>
      <c r="U229" s="21"/>
      <c r="V229" s="21"/>
      <c r="W229" s="21"/>
      <c r="X229" s="21"/>
      <c r="Y229" s="21"/>
      <c r="Z229" s="21"/>
      <c r="AA229" s="21"/>
    </row>
    <row r="230" spans="9:27" x14ac:dyDescent="0.25">
      <c r="I230" s="21"/>
      <c r="J230" s="488"/>
      <c r="K230" s="488"/>
      <c r="L230" s="488"/>
      <c r="M230" s="488"/>
      <c r="N230" s="488"/>
      <c r="O230" s="488"/>
      <c r="P230" s="488"/>
      <c r="Q230" s="488"/>
      <c r="R230" s="488"/>
      <c r="S230" s="488"/>
      <c r="T230" s="21"/>
      <c r="U230" s="21"/>
      <c r="V230" s="21"/>
      <c r="W230" s="21"/>
      <c r="X230" s="21"/>
      <c r="Y230" s="21"/>
      <c r="Z230" s="21"/>
      <c r="AA230" s="21"/>
    </row>
    <row r="231" spans="9:27" x14ac:dyDescent="0.25">
      <c r="I231" s="21"/>
      <c r="J231" s="488"/>
      <c r="K231" s="488"/>
      <c r="L231" s="488"/>
      <c r="M231" s="488"/>
      <c r="N231" s="488"/>
      <c r="O231" s="488"/>
      <c r="P231" s="488"/>
      <c r="Q231" s="488"/>
      <c r="R231" s="488"/>
      <c r="S231" s="488"/>
      <c r="T231" s="21"/>
      <c r="U231" s="21"/>
      <c r="V231" s="21"/>
      <c r="W231" s="21"/>
      <c r="X231" s="21"/>
      <c r="Y231" s="21"/>
      <c r="Z231" s="21"/>
      <c r="AA231" s="21"/>
    </row>
    <row r="232" spans="9:27" x14ac:dyDescent="0.25">
      <c r="I232" s="21"/>
      <c r="J232" s="488"/>
      <c r="K232" s="488"/>
      <c r="L232" s="488"/>
      <c r="M232" s="488"/>
      <c r="N232" s="488"/>
      <c r="O232" s="488"/>
      <c r="P232" s="488"/>
      <c r="Q232" s="488"/>
      <c r="R232" s="488"/>
      <c r="S232" s="488"/>
      <c r="T232" s="21"/>
      <c r="U232" s="21"/>
      <c r="V232" s="21"/>
      <c r="W232" s="21"/>
      <c r="X232" s="21"/>
      <c r="Y232" s="21"/>
      <c r="Z232" s="21"/>
      <c r="AA232" s="21"/>
    </row>
    <row r="233" spans="9:27" x14ac:dyDescent="0.25">
      <c r="I233" s="21"/>
      <c r="J233" s="488"/>
      <c r="K233" s="488"/>
      <c r="L233" s="488"/>
      <c r="M233" s="488"/>
      <c r="N233" s="488"/>
      <c r="O233" s="488"/>
      <c r="P233" s="488"/>
      <c r="Q233" s="488"/>
      <c r="R233" s="488"/>
      <c r="S233" s="488"/>
      <c r="T233" s="21"/>
      <c r="U233" s="21"/>
      <c r="V233" s="21"/>
      <c r="W233" s="21"/>
      <c r="X233" s="21"/>
      <c r="Y233" s="21"/>
      <c r="Z233" s="21"/>
      <c r="AA233" s="21"/>
    </row>
    <row r="234" spans="9:27" x14ac:dyDescent="0.25">
      <c r="I234" s="21"/>
      <c r="J234" s="488"/>
      <c r="K234" s="488"/>
      <c r="L234" s="488"/>
      <c r="M234" s="488"/>
      <c r="N234" s="488"/>
      <c r="O234" s="488"/>
      <c r="P234" s="488"/>
      <c r="Q234" s="488"/>
      <c r="R234" s="488"/>
      <c r="S234" s="488"/>
      <c r="T234" s="21"/>
      <c r="U234" s="21"/>
      <c r="V234" s="21"/>
      <c r="W234" s="21"/>
      <c r="X234" s="21"/>
      <c r="Y234" s="21"/>
      <c r="Z234" s="21"/>
      <c r="AA234" s="21"/>
    </row>
    <row r="235" spans="9:27" x14ac:dyDescent="0.25">
      <c r="I235" s="21"/>
      <c r="J235" s="488"/>
      <c r="K235" s="488"/>
      <c r="L235" s="488"/>
      <c r="M235" s="488"/>
      <c r="N235" s="488"/>
      <c r="O235" s="488"/>
      <c r="P235" s="488"/>
      <c r="Q235" s="488"/>
      <c r="R235" s="488"/>
      <c r="S235" s="488"/>
      <c r="T235" s="21"/>
      <c r="U235" s="21"/>
      <c r="V235" s="21"/>
      <c r="W235" s="21"/>
      <c r="X235" s="21"/>
      <c r="Y235" s="21"/>
      <c r="Z235" s="21"/>
      <c r="AA235" s="21"/>
    </row>
    <row r="236" spans="9:27" x14ac:dyDescent="0.25">
      <c r="I236" s="21"/>
      <c r="J236" s="488"/>
      <c r="K236" s="488"/>
      <c r="L236" s="488"/>
      <c r="M236" s="488"/>
      <c r="N236" s="488"/>
      <c r="O236" s="488"/>
      <c r="P236" s="488"/>
      <c r="Q236" s="488"/>
      <c r="R236" s="488"/>
      <c r="S236" s="488"/>
      <c r="T236" s="21"/>
      <c r="U236" s="21"/>
      <c r="V236" s="21"/>
      <c r="W236" s="21"/>
      <c r="X236" s="21"/>
      <c r="Y236" s="21"/>
      <c r="Z236" s="21"/>
      <c r="AA236" s="21"/>
    </row>
    <row r="237" spans="9:27" x14ac:dyDescent="0.25">
      <c r="I237" s="21"/>
      <c r="J237" s="488"/>
      <c r="K237" s="488"/>
      <c r="L237" s="488"/>
      <c r="M237" s="488"/>
      <c r="N237" s="488"/>
      <c r="O237" s="488"/>
      <c r="P237" s="488"/>
      <c r="Q237" s="488"/>
      <c r="R237" s="488"/>
      <c r="S237" s="488"/>
      <c r="T237" s="21"/>
      <c r="U237" s="21"/>
      <c r="V237" s="21"/>
      <c r="W237" s="21"/>
      <c r="X237" s="21"/>
      <c r="Y237" s="21"/>
      <c r="Z237" s="21"/>
      <c r="AA237" s="21"/>
    </row>
    <row r="238" spans="9:27" x14ac:dyDescent="0.25">
      <c r="I238" s="21"/>
      <c r="J238" s="488"/>
      <c r="K238" s="488"/>
      <c r="L238" s="488"/>
      <c r="M238" s="488"/>
      <c r="N238" s="488"/>
      <c r="O238" s="488"/>
      <c r="P238" s="488"/>
      <c r="Q238" s="488"/>
      <c r="R238" s="488"/>
      <c r="S238" s="488"/>
      <c r="T238" s="21"/>
      <c r="U238" s="21"/>
      <c r="V238" s="21"/>
      <c r="W238" s="21"/>
      <c r="X238" s="21"/>
      <c r="Y238" s="21"/>
      <c r="Z238" s="21"/>
      <c r="AA238" s="21"/>
    </row>
    <row r="239" spans="9:27" x14ac:dyDescent="0.25">
      <c r="I239" s="21"/>
      <c r="J239" s="488"/>
      <c r="K239" s="488"/>
      <c r="L239" s="488"/>
      <c r="M239" s="488"/>
      <c r="N239" s="488"/>
      <c r="O239" s="488"/>
      <c r="P239" s="488"/>
      <c r="Q239" s="488"/>
      <c r="R239" s="488"/>
      <c r="S239" s="488"/>
      <c r="T239" s="21"/>
      <c r="U239" s="21"/>
      <c r="V239" s="21"/>
      <c r="W239" s="21"/>
      <c r="X239" s="21"/>
      <c r="Y239" s="21"/>
      <c r="Z239" s="21"/>
      <c r="AA239" s="21"/>
    </row>
    <row r="240" spans="9:27" x14ac:dyDescent="0.25">
      <c r="I240" s="21"/>
      <c r="J240" s="488"/>
      <c r="K240" s="488"/>
      <c r="L240" s="488"/>
      <c r="M240" s="488"/>
      <c r="N240" s="488"/>
      <c r="O240" s="488"/>
      <c r="P240" s="488"/>
      <c r="Q240" s="488"/>
      <c r="R240" s="488"/>
      <c r="S240" s="488"/>
      <c r="T240" s="21"/>
      <c r="U240" s="21"/>
      <c r="V240" s="21"/>
      <c r="W240" s="21"/>
      <c r="X240" s="21"/>
      <c r="Y240" s="21"/>
      <c r="Z240" s="21"/>
      <c r="AA240" s="21"/>
    </row>
    <row r="241" spans="9:27" x14ac:dyDescent="0.25">
      <c r="I241" s="21"/>
      <c r="J241" s="488"/>
      <c r="K241" s="488"/>
      <c r="L241" s="488"/>
      <c r="M241" s="488"/>
      <c r="N241" s="488"/>
      <c r="O241" s="488"/>
      <c r="P241" s="488"/>
      <c r="Q241" s="488"/>
      <c r="R241" s="488"/>
      <c r="S241" s="488"/>
      <c r="T241" s="21"/>
      <c r="U241" s="21"/>
      <c r="V241" s="21"/>
      <c r="W241" s="21"/>
      <c r="X241" s="21"/>
      <c r="Y241" s="21"/>
      <c r="Z241" s="21"/>
      <c r="AA241" s="21"/>
    </row>
    <row r="242" spans="9:27" x14ac:dyDescent="0.25">
      <c r="I242" s="21"/>
      <c r="J242" s="488"/>
      <c r="K242" s="488"/>
      <c r="L242" s="488"/>
      <c r="M242" s="488"/>
      <c r="N242" s="488"/>
      <c r="O242" s="488"/>
      <c r="P242" s="488"/>
      <c r="Q242" s="488"/>
      <c r="R242" s="488"/>
      <c r="S242" s="488"/>
      <c r="T242" s="21"/>
      <c r="U242" s="21"/>
      <c r="V242" s="21"/>
      <c r="W242" s="21"/>
      <c r="X242" s="21"/>
      <c r="Y242" s="21"/>
      <c r="Z242" s="21"/>
      <c r="AA242" s="21"/>
    </row>
    <row r="243" spans="9:27" x14ac:dyDescent="0.25">
      <c r="I243" s="21"/>
      <c r="J243" s="488"/>
      <c r="K243" s="488"/>
      <c r="L243" s="488"/>
      <c r="M243" s="488"/>
      <c r="N243" s="488"/>
      <c r="O243" s="488"/>
      <c r="P243" s="488"/>
      <c r="Q243" s="488"/>
      <c r="R243" s="488"/>
      <c r="S243" s="488"/>
      <c r="T243" s="21"/>
      <c r="U243" s="21"/>
      <c r="V243" s="21"/>
      <c r="W243" s="21"/>
      <c r="X243" s="21"/>
      <c r="Y243" s="21"/>
      <c r="Z243" s="21"/>
      <c r="AA243" s="21"/>
    </row>
  </sheetData>
  <mergeCells count="10">
    <mergeCell ref="B1:D1"/>
    <mergeCell ref="B2:D2"/>
    <mergeCell ref="B3:D3"/>
    <mergeCell ref="B4:D4"/>
    <mergeCell ref="B5:D5"/>
    <mergeCell ref="A63:F63"/>
    <mergeCell ref="A54:F54"/>
    <mergeCell ref="A62:F62"/>
    <mergeCell ref="B6:D6"/>
    <mergeCell ref="A12:H12"/>
  </mergeCells>
  <dataValidations count="1">
    <dataValidation type="list" allowBlank="1" showInputMessage="1" showErrorMessage="1" sqref="L11:M16">
      <formula1>$L$10:$L$15</formula1>
    </dataValidation>
  </dataValidations>
  <pageMargins left="0.25" right="0.25" top="0.75" bottom="0.75" header="0.3" footer="0.3"/>
  <pageSetup scale="4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/>
  </sheetPr>
  <dimension ref="A1:AA50"/>
  <sheetViews>
    <sheetView view="pageBreakPreview" zoomScale="60" zoomScaleNormal="55" workbookViewId="0">
      <selection activeCell="G34" sqref="G34"/>
    </sheetView>
  </sheetViews>
  <sheetFormatPr defaultRowHeight="15" x14ac:dyDescent="0.25"/>
  <cols>
    <col min="1" max="1" width="63.42578125" customWidth="1"/>
    <col min="2" max="2" width="11.7109375" customWidth="1"/>
    <col min="3" max="3" width="12.5703125" customWidth="1"/>
    <col min="4" max="4" width="13.5703125" style="5" customWidth="1"/>
    <col min="5" max="5" width="26.7109375" style="5" customWidth="1"/>
    <col min="6" max="6" width="23.140625" customWidth="1"/>
    <col min="7" max="7" width="20.28515625" style="1" bestFit="1" customWidth="1"/>
    <col min="8" max="8" width="76.7109375" customWidth="1"/>
  </cols>
  <sheetData>
    <row r="1" spans="1:27" s="2" customFormat="1" ht="15" customHeight="1" x14ac:dyDescent="0.25">
      <c r="A1" s="114" t="s">
        <v>106</v>
      </c>
      <c r="B1" s="756">
        <f>'Facility Site Specific Info.'!C4</f>
        <v>0</v>
      </c>
      <c r="C1" s="756"/>
      <c r="D1" s="756"/>
      <c r="E1" s="93"/>
      <c r="F1" s="10"/>
      <c r="G1" s="10"/>
      <c r="H1" s="10"/>
      <c r="I1" s="10"/>
      <c r="J1" s="10"/>
    </row>
    <row r="2" spans="1:27" s="2" customFormat="1" ht="15" customHeight="1" x14ac:dyDescent="0.25">
      <c r="A2" s="114" t="s">
        <v>194</v>
      </c>
      <c r="B2" s="757">
        <f>'Facility Site Specific Info.'!C5</f>
        <v>0</v>
      </c>
      <c r="C2" s="757"/>
      <c r="D2" s="757"/>
      <c r="E2" s="93"/>
      <c r="F2" s="10"/>
      <c r="G2" s="10"/>
      <c r="H2" s="10"/>
      <c r="I2" s="10"/>
      <c r="J2" s="10"/>
    </row>
    <row r="3" spans="1:27" s="2" customFormat="1" ht="15" customHeight="1" x14ac:dyDescent="0.25">
      <c r="A3" s="114" t="s">
        <v>181</v>
      </c>
      <c r="B3" s="758">
        <f>'Facility Site Specific Info.'!C6</f>
        <v>0</v>
      </c>
      <c r="C3" s="758"/>
      <c r="D3" s="758"/>
      <c r="E3" s="93"/>
      <c r="F3" s="10"/>
      <c r="G3" s="10"/>
      <c r="H3" s="10"/>
      <c r="I3" s="10"/>
      <c r="J3" s="10"/>
    </row>
    <row r="4" spans="1:27" s="2" customFormat="1" ht="15" customHeight="1" x14ac:dyDescent="0.25">
      <c r="A4" s="114" t="s">
        <v>108</v>
      </c>
      <c r="B4" s="758">
        <f>'Facility Site Specific Info.'!C7</f>
        <v>0</v>
      </c>
      <c r="C4" s="758"/>
      <c r="D4" s="758"/>
      <c r="E4" s="93"/>
      <c r="F4" s="10"/>
      <c r="G4" s="10"/>
      <c r="H4" s="10"/>
      <c r="I4" s="10"/>
      <c r="J4" s="10"/>
    </row>
    <row r="5" spans="1:27" s="2" customFormat="1" ht="15" customHeight="1" x14ac:dyDescent="0.25">
      <c r="A5" s="114" t="s">
        <v>182</v>
      </c>
      <c r="B5" s="757">
        <f>'Facility Site Specific Info.'!C8</f>
        <v>0</v>
      </c>
      <c r="C5" s="757"/>
      <c r="D5" s="757"/>
      <c r="E5" s="93"/>
      <c r="F5" s="10"/>
      <c r="G5" s="10"/>
      <c r="H5" s="10"/>
      <c r="I5" s="10"/>
      <c r="J5" s="10"/>
    </row>
    <row r="6" spans="1:27" s="2" customFormat="1" ht="15" customHeight="1" x14ac:dyDescent="0.25">
      <c r="A6" s="114" t="s">
        <v>107</v>
      </c>
      <c r="B6" s="752">
        <f>'Facility Site Specific Info.'!C9</f>
        <v>0</v>
      </c>
      <c r="C6" s="752"/>
      <c r="D6" s="752"/>
      <c r="E6" s="93"/>
      <c r="F6" s="10"/>
      <c r="G6" s="10"/>
      <c r="H6" s="10"/>
      <c r="I6" s="10"/>
      <c r="J6" s="10"/>
    </row>
    <row r="7" spans="1:27" s="2" customFormat="1" ht="15" customHeight="1" x14ac:dyDescent="0.25">
      <c r="A7" s="114"/>
      <c r="B7" s="98"/>
      <c r="C7" s="98"/>
      <c r="D7" s="98"/>
      <c r="E7" s="93"/>
      <c r="F7" s="10"/>
      <c r="G7" s="10"/>
      <c r="H7" s="10"/>
      <c r="I7" s="10"/>
      <c r="J7" s="10"/>
    </row>
    <row r="8" spans="1:27" s="2" customFormat="1" ht="15" customHeight="1" x14ac:dyDescent="0.25">
      <c r="A8" s="258" t="s">
        <v>378</v>
      </c>
      <c r="B8" s="8">
        <f>'Facility Site Specific Info.'!C19</f>
        <v>0</v>
      </c>
      <c r="C8" s="92" t="s">
        <v>322</v>
      </c>
      <c r="D8" s="194"/>
      <c r="E8" s="93"/>
      <c r="F8" s="18"/>
      <c r="G8" s="18"/>
      <c r="H8" s="18"/>
      <c r="I8" s="18"/>
      <c r="J8" s="18"/>
      <c r="K8" s="31"/>
      <c r="L8" s="31"/>
      <c r="M8" s="31"/>
      <c r="N8" s="3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s="2" customFormat="1" ht="15" customHeight="1" x14ac:dyDescent="0.25">
      <c r="A9" s="258" t="s">
        <v>379</v>
      </c>
      <c r="B9" s="19">
        <f>'Facility Site Specific Info.'!C20</f>
        <v>0</v>
      </c>
      <c r="C9" s="92" t="s">
        <v>322</v>
      </c>
      <c r="D9" s="76"/>
      <c r="E9" s="18"/>
      <c r="F9" s="18"/>
      <c r="G9" s="18"/>
      <c r="H9" s="18"/>
      <c r="I9" s="18"/>
      <c r="J9" s="18"/>
      <c r="K9" s="31"/>
      <c r="L9" s="31"/>
      <c r="M9" s="31"/>
      <c r="N9" s="3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s="3" customFormat="1" ht="15" customHeight="1" x14ac:dyDescent="0.25">
      <c r="A10" s="7"/>
      <c r="B10" s="12"/>
      <c r="C10" s="6"/>
      <c r="D10" s="11"/>
      <c r="E10" s="11"/>
      <c r="F10" s="7"/>
      <c r="G10" s="12"/>
      <c r="H10" s="6"/>
    </row>
    <row r="11" spans="1:27" s="3" customFormat="1" ht="15" customHeight="1" thickBot="1" x14ac:dyDescent="0.3">
      <c r="A11" s="7"/>
      <c r="B11" s="12"/>
      <c r="C11" s="6"/>
      <c r="D11" s="11"/>
      <c r="E11" s="11"/>
      <c r="F11" s="7"/>
      <c r="G11" s="12"/>
      <c r="H11" s="6"/>
    </row>
    <row r="12" spans="1:27" s="4" customFormat="1" ht="29.25" customHeight="1" thickTop="1" thickBot="1" x14ac:dyDescent="0.55000000000000004">
      <c r="A12" s="753" t="s">
        <v>444</v>
      </c>
      <c r="B12" s="754"/>
      <c r="C12" s="754"/>
      <c r="D12" s="754"/>
      <c r="E12" s="754"/>
      <c r="F12" s="754"/>
      <c r="G12" s="754"/>
      <c r="H12" s="755"/>
    </row>
    <row r="13" spans="1:27" s="2" customFormat="1" ht="17.25" thickTop="1" thickBot="1" x14ac:dyDescent="0.3">
      <c r="A13" s="551" t="s">
        <v>22</v>
      </c>
      <c r="B13" s="196" t="s">
        <v>0</v>
      </c>
      <c r="C13" s="196" t="s">
        <v>1</v>
      </c>
      <c r="D13" s="197" t="s">
        <v>2</v>
      </c>
      <c r="E13" s="198" t="s">
        <v>43</v>
      </c>
      <c r="F13" s="199" t="s">
        <v>3</v>
      </c>
      <c r="G13" s="196" t="s">
        <v>4</v>
      </c>
      <c r="H13" s="200" t="s">
        <v>26</v>
      </c>
      <c r="I13" s="21"/>
      <c r="J13" s="21"/>
      <c r="K13" s="31"/>
      <c r="L13" s="31" t="s">
        <v>37</v>
      </c>
      <c r="M13" s="31">
        <v>0.84</v>
      </c>
      <c r="N13" s="3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s="4" customFormat="1" ht="20.100000000000001" customHeight="1" x14ac:dyDescent="0.35">
      <c r="A14" s="552" t="s">
        <v>10</v>
      </c>
      <c r="B14" s="454"/>
      <c r="C14" s="238"/>
      <c r="D14" s="375"/>
      <c r="E14" s="227"/>
      <c r="F14" s="375"/>
      <c r="G14" s="227"/>
      <c r="H14" s="307"/>
    </row>
    <row r="15" spans="1:27" s="4" customFormat="1" x14ac:dyDescent="0.25">
      <c r="A15" s="576" t="s">
        <v>29</v>
      </c>
      <c r="B15" s="450">
        <f>IF('Facility Site Specific Info.'!C22="Artificial Turf",0,(B8+B9)*3)</f>
        <v>0</v>
      </c>
      <c r="C15" s="273" t="s">
        <v>7</v>
      </c>
      <c r="D15" s="313">
        <f>116</f>
        <v>116</v>
      </c>
      <c r="E15" s="337">
        <f>'Facility Site Specific Info.'!$D$13</f>
        <v>0</v>
      </c>
      <c r="F15" s="394">
        <f>B15*D15*E15</f>
        <v>0</v>
      </c>
      <c r="G15" s="281"/>
      <c r="H15" s="204" t="s">
        <v>432</v>
      </c>
      <c r="J15" s="2"/>
      <c r="K15" s="2"/>
    </row>
    <row r="16" spans="1:27" s="4" customFormat="1" x14ac:dyDescent="0.25">
      <c r="A16" s="577" t="s">
        <v>32</v>
      </c>
      <c r="B16" s="314">
        <f>B8*43560*2/27*0.02*IF('Facility Site Specific Info.'!C26="Yes",1,0)*IF('Facility Site Specific Info.'!C22="Artificial Turf",0,1)</f>
        <v>0</v>
      </c>
      <c r="C16" s="329" t="s">
        <v>171</v>
      </c>
      <c r="D16" s="315">
        <f>SUM('Type I-II Landfill Closure'!D36:D37)</f>
        <v>10.45</v>
      </c>
      <c r="E16" s="338">
        <f>'Facility Site Specific Info.'!$D$13</f>
        <v>0</v>
      </c>
      <c r="F16" s="386">
        <f t="shared" ref="F16:F20" si="0">B16*D16*E16</f>
        <v>0</v>
      </c>
      <c r="G16" s="281"/>
      <c r="H16" s="204" t="s">
        <v>432</v>
      </c>
      <c r="J16" s="2"/>
      <c r="K16" s="2"/>
    </row>
    <row r="17" spans="1:11" s="4" customFormat="1" x14ac:dyDescent="0.25">
      <c r="A17" s="578" t="s">
        <v>27</v>
      </c>
      <c r="B17" s="314">
        <f>B8*43560*2/27*0.02*IF('Facility Site Specific Info.'!C26="No",1,0)*IF('Facility Site Specific Info.'!C22="Artificial Turf",0,1)</f>
        <v>0</v>
      </c>
      <c r="C17" s="329" t="s">
        <v>171</v>
      </c>
      <c r="D17" s="315">
        <f>SUM('Type I-II Landfill Closure'!D39:D40)</f>
        <v>9.5500000000000007</v>
      </c>
      <c r="E17" s="338">
        <f>'Facility Site Specific Info.'!$D$13</f>
        <v>0</v>
      </c>
      <c r="F17" s="386">
        <f t="shared" si="0"/>
        <v>0</v>
      </c>
      <c r="G17" s="281" t="s">
        <v>5</v>
      </c>
      <c r="H17" s="204" t="s">
        <v>432</v>
      </c>
      <c r="J17" s="2"/>
      <c r="K17" s="2"/>
    </row>
    <row r="18" spans="1:11" s="4" customFormat="1" x14ac:dyDescent="0.25">
      <c r="A18" s="577" t="s">
        <v>390</v>
      </c>
      <c r="B18" s="314">
        <f>(B8+B9)*IF('Facility Site Specific Info.'!C22="Grass",1,0)*0.02</f>
        <v>0</v>
      </c>
      <c r="C18" s="274" t="s">
        <v>7</v>
      </c>
      <c r="D18" s="615">
        <f>40*43.56</f>
        <v>1742.4</v>
      </c>
      <c r="E18" s="338">
        <f>'Facility Site Specific Info.'!$D$13</f>
        <v>0</v>
      </c>
      <c r="F18" s="386">
        <f t="shared" si="0"/>
        <v>0</v>
      </c>
      <c r="G18" s="281" t="s">
        <v>5</v>
      </c>
      <c r="H18" s="204" t="s">
        <v>403</v>
      </c>
      <c r="J18" s="2"/>
      <c r="K18" s="2"/>
    </row>
    <row r="19" spans="1:11" s="4" customFormat="1" x14ac:dyDescent="0.25">
      <c r="A19" s="577" t="s">
        <v>391</v>
      </c>
      <c r="B19" s="314">
        <f>(B8+B9)*IF('Facility Site Specific Info.'!C22="Grass",1,0)*0.02</f>
        <v>0</v>
      </c>
      <c r="C19" s="329" t="s">
        <v>7</v>
      </c>
      <c r="D19" s="613">
        <v>330</v>
      </c>
      <c r="E19" s="338">
        <f>'Facility Site Specific Info.'!$D$13</f>
        <v>0</v>
      </c>
      <c r="F19" s="386">
        <f t="shared" si="0"/>
        <v>0</v>
      </c>
      <c r="G19" s="281"/>
      <c r="H19" s="204" t="s">
        <v>404</v>
      </c>
      <c r="J19" s="2"/>
      <c r="K19" s="2"/>
    </row>
    <row r="20" spans="1:11" s="4" customFormat="1" x14ac:dyDescent="0.25">
      <c r="A20" s="577" t="s">
        <v>180</v>
      </c>
      <c r="B20" s="451">
        <f>IF('Facility Site Specific Info.'!C22="Artificial Turf",1,0)</f>
        <v>0</v>
      </c>
      <c r="C20" s="330" t="s">
        <v>354</v>
      </c>
      <c r="D20" s="316">
        <v>2000</v>
      </c>
      <c r="E20" s="339">
        <f>'Facility Site Specific Info.'!$D$13</f>
        <v>0</v>
      </c>
      <c r="F20" s="387">
        <f t="shared" si="0"/>
        <v>0</v>
      </c>
      <c r="G20" s="309"/>
      <c r="H20" s="204" t="s">
        <v>432</v>
      </c>
      <c r="J20" s="2"/>
      <c r="K20" s="2"/>
    </row>
    <row r="21" spans="1:11" s="4" customFormat="1" ht="15.75" thickBot="1" x14ac:dyDescent="0.3">
      <c r="A21" s="579" t="s">
        <v>11</v>
      </c>
      <c r="B21" s="468"/>
      <c r="C21" s="470"/>
      <c r="D21" s="395"/>
      <c r="E21" s="340"/>
      <c r="F21" s="395"/>
      <c r="G21" s="392">
        <f>SUM(F15:F20)</f>
        <v>0</v>
      </c>
      <c r="H21" s="310"/>
      <c r="J21" s="2"/>
      <c r="K21" s="2"/>
    </row>
    <row r="22" spans="1:11" s="4" customFormat="1" ht="20.100000000000001" customHeight="1" x14ac:dyDescent="0.35">
      <c r="A22" s="552" t="s">
        <v>12</v>
      </c>
      <c r="B22" s="454"/>
      <c r="C22" s="238"/>
      <c r="D22" s="375"/>
      <c r="E22" s="341"/>
      <c r="F22" s="375"/>
      <c r="G22" s="375"/>
      <c r="H22" s="308"/>
      <c r="J22" s="2"/>
      <c r="K22" s="2"/>
    </row>
    <row r="23" spans="1:11" s="4" customFormat="1" x14ac:dyDescent="0.25">
      <c r="A23" s="580" t="s">
        <v>23</v>
      </c>
      <c r="B23" s="450">
        <f>IF('Facility Site Specific Info.'!C16="Yes",1,0)</f>
        <v>0</v>
      </c>
      <c r="C23" s="273" t="s">
        <v>24</v>
      </c>
      <c r="D23" s="385">
        <f>(SUM(B8:B9)/2)*100</f>
        <v>0</v>
      </c>
      <c r="E23" s="342">
        <f>'Facility Site Specific Info.'!$D$13</f>
        <v>0</v>
      </c>
      <c r="F23" s="385">
        <f>B23*D23*E23</f>
        <v>0</v>
      </c>
      <c r="G23" s="281"/>
      <c r="H23" s="628" t="s">
        <v>432</v>
      </c>
      <c r="J23" s="2"/>
      <c r="K23" s="2"/>
    </row>
    <row r="24" spans="1:11" s="4" customFormat="1" ht="30" x14ac:dyDescent="0.25">
      <c r="A24" s="577" t="s">
        <v>13</v>
      </c>
      <c r="B24" s="448">
        <f>IF('Facility Site Specific Info.'!C16="Yes",12,0)</f>
        <v>0</v>
      </c>
      <c r="C24" s="272" t="s">
        <v>14</v>
      </c>
      <c r="D24" s="630">
        <v>100</v>
      </c>
      <c r="E24" s="343">
        <f>'Facility Site Specific Info.'!$D$13</f>
        <v>0</v>
      </c>
      <c r="F24" s="396">
        <f t="shared" ref="F24:F27" si="1">B24*D24*E24</f>
        <v>0</v>
      </c>
      <c r="G24" s="281"/>
      <c r="H24" s="628" t="s">
        <v>432</v>
      </c>
      <c r="J24" s="2"/>
      <c r="K24" s="2"/>
    </row>
    <row r="25" spans="1:11" s="4" customFormat="1" x14ac:dyDescent="0.25">
      <c r="A25" s="577" t="s">
        <v>367</v>
      </c>
      <c r="B25" s="467">
        <f>2500*(B8+B9)</f>
        <v>0</v>
      </c>
      <c r="C25" s="610" t="s">
        <v>454</v>
      </c>
      <c r="D25" s="386">
        <v>0.05</v>
      </c>
      <c r="E25" s="344">
        <f>'Facility Site Specific Info.'!$D$13</f>
        <v>0</v>
      </c>
      <c r="F25" s="397">
        <f t="shared" si="1"/>
        <v>0</v>
      </c>
      <c r="G25" s="281"/>
      <c r="H25" s="204" t="s">
        <v>432</v>
      </c>
    </row>
    <row r="26" spans="1:11" s="4" customFormat="1" x14ac:dyDescent="0.25">
      <c r="A26" s="581" t="s">
        <v>15</v>
      </c>
      <c r="B26" s="314">
        <f>IF('Facility Site Specific Info.'!C16="Yes",1,0)</f>
        <v>0</v>
      </c>
      <c r="C26" s="274" t="s">
        <v>8</v>
      </c>
      <c r="D26" s="386">
        <v>150</v>
      </c>
      <c r="E26" s="345">
        <f>'Facility Site Specific Info.'!$D$13</f>
        <v>0</v>
      </c>
      <c r="F26" s="397">
        <f t="shared" si="1"/>
        <v>0</v>
      </c>
      <c r="G26" s="281"/>
      <c r="H26" s="204" t="s">
        <v>432</v>
      </c>
    </row>
    <row r="27" spans="1:11" s="4" customFormat="1" x14ac:dyDescent="0.25">
      <c r="A27" s="581" t="s">
        <v>16</v>
      </c>
      <c r="B27" s="451">
        <f>IF('Facility Site Specific Info.'!C16="Yes",1,0)</f>
        <v>0</v>
      </c>
      <c r="C27" s="276" t="s">
        <v>8</v>
      </c>
      <c r="D27" s="387">
        <v>500</v>
      </c>
      <c r="E27" s="346">
        <f>'Facility Site Specific Info.'!$D$13</f>
        <v>0</v>
      </c>
      <c r="F27" s="398">
        <f t="shared" si="1"/>
        <v>0</v>
      </c>
      <c r="G27" s="281"/>
      <c r="H27" s="204" t="s">
        <v>432</v>
      </c>
    </row>
    <row r="28" spans="1:11" s="4" customFormat="1" ht="15.75" thickBot="1" x14ac:dyDescent="0.3">
      <c r="A28" s="582" t="s">
        <v>17</v>
      </c>
      <c r="B28" s="468"/>
      <c r="C28" s="470"/>
      <c r="D28" s="395"/>
      <c r="E28" s="340"/>
      <c r="F28" s="395"/>
      <c r="G28" s="392">
        <f>SUM(F23:F27)</f>
        <v>0</v>
      </c>
      <c r="H28" s="310"/>
    </row>
    <row r="29" spans="1:11" s="4" customFormat="1" ht="23.25" customHeight="1" x14ac:dyDescent="0.35">
      <c r="A29" s="552" t="s">
        <v>18</v>
      </c>
      <c r="B29" s="454"/>
      <c r="C29" s="238"/>
      <c r="D29" s="375"/>
      <c r="E29" s="341"/>
      <c r="F29" s="375"/>
      <c r="G29" s="375"/>
      <c r="H29" s="307"/>
    </row>
    <row r="30" spans="1:11" s="4" customFormat="1" x14ac:dyDescent="0.25">
      <c r="A30" s="583" t="s">
        <v>369</v>
      </c>
      <c r="B30" s="450">
        <f>(B8+B9)*IF('Facility Site Specific Info.'!C29="Yes",1,0)</f>
        <v>0</v>
      </c>
      <c r="C30" s="471" t="s">
        <v>207</v>
      </c>
      <c r="D30" s="313">
        <f>SUM(D46:D50)+B30*D45</f>
        <v>2417</v>
      </c>
      <c r="E30" s="347">
        <f>'Facility Site Specific Info.'!$D$13</f>
        <v>0</v>
      </c>
      <c r="F30" s="399">
        <f>D30*12*E30</f>
        <v>0</v>
      </c>
      <c r="G30" s="281"/>
      <c r="H30" s="625" t="s">
        <v>432</v>
      </c>
    </row>
    <row r="31" spans="1:11" s="4" customFormat="1" x14ac:dyDescent="0.25">
      <c r="A31" s="578" t="s">
        <v>19</v>
      </c>
      <c r="B31" s="314">
        <f>IF('Facility Site Specific Info.'!C16="Yes",4,0)</f>
        <v>0</v>
      </c>
      <c r="C31" s="329" t="s">
        <v>354</v>
      </c>
      <c r="D31" s="386">
        <v>650</v>
      </c>
      <c r="E31" s="345">
        <f>'Facility Site Specific Info.'!$D$13</f>
        <v>0</v>
      </c>
      <c r="F31" s="386">
        <f t="shared" ref="F31:F32" si="2">D31*12*E31</f>
        <v>0</v>
      </c>
      <c r="G31" s="281"/>
      <c r="H31" s="625" t="s">
        <v>432</v>
      </c>
    </row>
    <row r="32" spans="1:11" s="4" customFormat="1" x14ac:dyDescent="0.25">
      <c r="A32" s="578" t="s">
        <v>20</v>
      </c>
      <c r="B32" s="451">
        <f>IF('Facility Site Specific Info.'!C16="Yes",4,0)</f>
        <v>0</v>
      </c>
      <c r="C32" s="330" t="s">
        <v>354</v>
      </c>
      <c r="D32" s="387">
        <v>500</v>
      </c>
      <c r="E32" s="346">
        <f>'Facility Site Specific Info.'!$D$13</f>
        <v>0</v>
      </c>
      <c r="F32" s="387">
        <f t="shared" si="2"/>
        <v>0</v>
      </c>
      <c r="G32" s="281"/>
      <c r="H32" s="625" t="s">
        <v>432</v>
      </c>
    </row>
    <row r="33" spans="1:27" s="4" customFormat="1" ht="15.75" thickBot="1" x14ac:dyDescent="0.3">
      <c r="A33" s="584" t="s">
        <v>21</v>
      </c>
      <c r="B33" s="469"/>
      <c r="C33" s="277"/>
      <c r="D33" s="278"/>
      <c r="E33" s="278"/>
      <c r="F33" s="391"/>
      <c r="G33" s="379">
        <f>SUM(F30:F32)</f>
        <v>0</v>
      </c>
      <c r="H33" s="310"/>
    </row>
    <row r="34" spans="1:27" s="4" customFormat="1" ht="21.75" customHeight="1" thickBot="1" x14ac:dyDescent="0.3">
      <c r="A34" s="759" t="s">
        <v>381</v>
      </c>
      <c r="B34" s="760"/>
      <c r="C34" s="760"/>
      <c r="D34" s="760"/>
      <c r="E34" s="760"/>
      <c r="F34" s="761"/>
      <c r="G34" s="365">
        <f>SUM(G33+G28+G21)</f>
        <v>0</v>
      </c>
      <c r="H34" s="311"/>
    </row>
    <row r="35" spans="1:27" s="2" customFormat="1" ht="20.100000000000001" customHeight="1" x14ac:dyDescent="0.35">
      <c r="A35" s="561" t="s">
        <v>65</v>
      </c>
      <c r="B35" s="252"/>
      <c r="C35" s="252"/>
      <c r="D35" s="234"/>
      <c r="E35" s="235"/>
      <c r="F35" s="234"/>
      <c r="G35" s="234"/>
      <c r="H35" s="209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4" customFormat="1" ht="16.5" customHeight="1" x14ac:dyDescent="0.25">
      <c r="A36" s="585" t="s">
        <v>30</v>
      </c>
      <c r="B36" s="472">
        <f>IF('Facility Site Specific Info.'!C16="Yes",1,0)</f>
        <v>0</v>
      </c>
      <c r="C36" s="255" t="s">
        <v>167</v>
      </c>
      <c r="D36" s="622">
        <v>0.05</v>
      </c>
      <c r="E36" s="244"/>
      <c r="F36" s="368">
        <f>G34*0.05*B36</f>
        <v>0</v>
      </c>
      <c r="G36" s="281" t="s">
        <v>5</v>
      </c>
      <c r="H36" s="629"/>
    </row>
    <row r="37" spans="1:27" s="4" customFormat="1" x14ac:dyDescent="0.25">
      <c r="A37" s="586" t="s">
        <v>31</v>
      </c>
      <c r="B37" s="473">
        <f>IF('Facility Site Specific Info.'!C16="Yes",1,0)</f>
        <v>0</v>
      </c>
      <c r="C37" s="256" t="s">
        <v>167</v>
      </c>
      <c r="D37" s="623">
        <v>0.1</v>
      </c>
      <c r="E37" s="245"/>
      <c r="F37" s="369">
        <f>G34*0.1*B37</f>
        <v>0</v>
      </c>
      <c r="G37" s="281" t="s">
        <v>5</v>
      </c>
      <c r="H37" s="629"/>
    </row>
    <row r="38" spans="1:27" s="4" customFormat="1" ht="15.75" thickBot="1" x14ac:dyDescent="0.3">
      <c r="A38" s="587" t="s">
        <v>28</v>
      </c>
      <c r="B38" s="277"/>
      <c r="C38" s="277"/>
      <c r="D38" s="278"/>
      <c r="E38" s="278"/>
      <c r="F38" s="277"/>
      <c r="G38" s="392">
        <f>SUM(F36:F37)</f>
        <v>0</v>
      </c>
      <c r="H38" s="310"/>
    </row>
    <row r="39" spans="1:27" s="4" customFormat="1" ht="21" customHeight="1" x14ac:dyDescent="0.25">
      <c r="A39" s="765" t="s">
        <v>380</v>
      </c>
      <c r="B39" s="766"/>
      <c r="C39" s="766"/>
      <c r="D39" s="766"/>
      <c r="E39" s="766"/>
      <c r="F39" s="767"/>
      <c r="G39" s="365">
        <f>G38+G34</f>
        <v>0</v>
      </c>
      <c r="H39" s="311"/>
    </row>
    <row r="40" spans="1:27" s="4" customFormat="1" ht="39" customHeight="1" thickBot="1" x14ac:dyDescent="0.3">
      <c r="A40" s="762" t="str">
        <f>"TOTAL POST-CLOSURE COST FOR "&amp;'Facility Site Specific Info.'!C18&amp;" YEARS"</f>
        <v>TOTAL POST-CLOSURE COST FOR  YEARS</v>
      </c>
      <c r="B40" s="763"/>
      <c r="C40" s="763"/>
      <c r="D40" s="763"/>
      <c r="E40" s="763"/>
      <c r="F40" s="764"/>
      <c r="G40" s="393">
        <f>(IF('Facility Site Specific Info.'!C16="Yes",(G39*'Facility Site Specific Info.'!C18),0))</f>
        <v>0</v>
      </c>
      <c r="H40" s="312"/>
    </row>
    <row r="41" spans="1:27" ht="15.75" thickTop="1" x14ac:dyDescent="0.25"/>
    <row r="42" spans="1:27" x14ac:dyDescent="0.25">
      <c r="B42" s="2"/>
    </row>
    <row r="43" spans="1:27" x14ac:dyDescent="0.25">
      <c r="B43" s="2"/>
    </row>
    <row r="44" spans="1:27" x14ac:dyDescent="0.25">
      <c r="B44" s="2" t="s">
        <v>323</v>
      </c>
      <c r="C44" s="2"/>
    </row>
    <row r="45" spans="1:27" x14ac:dyDescent="0.25">
      <c r="B45" s="2" t="s">
        <v>328</v>
      </c>
      <c r="C45" s="2"/>
      <c r="D45" s="5">
        <f>65/10</f>
        <v>6.5</v>
      </c>
      <c r="E45" s="5" t="s">
        <v>368</v>
      </c>
    </row>
    <row r="46" spans="1:27" x14ac:dyDescent="0.25">
      <c r="B46" s="2" t="s">
        <v>324</v>
      </c>
      <c r="C46" s="2"/>
      <c r="D46" s="5">
        <f>65*8</f>
        <v>520</v>
      </c>
      <c r="E46" s="5" t="s">
        <v>325</v>
      </c>
    </row>
    <row r="47" spans="1:27" x14ac:dyDescent="0.25">
      <c r="B47" s="2" t="s">
        <v>326</v>
      </c>
      <c r="C47" s="2"/>
      <c r="D47" s="5">
        <f>100+136</f>
        <v>236</v>
      </c>
      <c r="E47" s="5" t="s">
        <v>327</v>
      </c>
    </row>
    <row r="48" spans="1:27" x14ac:dyDescent="0.25">
      <c r="B48" s="2" t="s">
        <v>329</v>
      </c>
      <c r="C48" s="2"/>
      <c r="D48" s="5">
        <f>127*8</f>
        <v>1016</v>
      </c>
      <c r="E48" s="5" t="s">
        <v>330</v>
      </c>
    </row>
    <row r="49" spans="2:5" x14ac:dyDescent="0.25">
      <c r="B49" s="2" t="s">
        <v>331</v>
      </c>
      <c r="C49" s="2"/>
      <c r="D49" s="5">
        <v>150</v>
      </c>
      <c r="E49" s="5" t="s">
        <v>332</v>
      </c>
    </row>
    <row r="50" spans="2:5" x14ac:dyDescent="0.25">
      <c r="B50" s="2" t="s">
        <v>333</v>
      </c>
      <c r="C50" s="2"/>
      <c r="D50" s="5">
        <v>495</v>
      </c>
      <c r="E50" s="5" t="s">
        <v>334</v>
      </c>
    </row>
  </sheetData>
  <mergeCells count="10">
    <mergeCell ref="A34:F34"/>
    <mergeCell ref="A40:F40"/>
    <mergeCell ref="B6:D6"/>
    <mergeCell ref="B1:D1"/>
    <mergeCell ref="B2:D2"/>
    <mergeCell ref="B3:D3"/>
    <mergeCell ref="B4:D4"/>
    <mergeCell ref="B5:D5"/>
    <mergeCell ref="A12:H12"/>
    <mergeCell ref="A39:F39"/>
  </mergeCells>
  <dataValidations disablePrompts="1" count="2">
    <dataValidation type="list" allowBlank="1" showInputMessage="1" showErrorMessage="1" sqref="L13:M13">
      <formula1>$L$10:$L$15</formula1>
    </dataValidation>
    <dataValidation type="list" allowBlank="1" showInputMessage="1" showErrorMessage="1" sqref="J16:K24">
      <formula1>$M$10:$M$13</formula1>
    </dataValidation>
  </dataValidations>
  <pageMargins left="0.45069444444444445" right="0.45069444444444445" top="0.3" bottom="0.75" header="0.3" footer="0.3"/>
  <pageSetup paperSize="5" scale="55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9"/>
  </sheetPr>
  <dimension ref="A1:AM178"/>
  <sheetViews>
    <sheetView view="pageBreakPreview" topLeftCell="A31" zoomScale="130" zoomScaleNormal="70" zoomScaleSheetLayoutView="130" workbookViewId="0">
      <selection activeCell="A48" sqref="A48"/>
    </sheetView>
  </sheetViews>
  <sheetFormatPr defaultRowHeight="15" x14ac:dyDescent="0.25"/>
  <cols>
    <col min="1" max="1" width="63.42578125" customWidth="1"/>
    <col min="2" max="2" width="11.7109375" customWidth="1"/>
    <col min="3" max="3" width="12.5703125" customWidth="1"/>
    <col min="4" max="4" width="13.5703125" customWidth="1"/>
    <col min="5" max="5" width="26.7109375" customWidth="1"/>
    <col min="6" max="6" width="23.140625" customWidth="1"/>
    <col min="7" max="7" width="16.28515625" customWidth="1"/>
    <col min="8" max="8" width="76.7109375" customWidth="1"/>
  </cols>
  <sheetData>
    <row r="1" spans="1:27" s="2" customFormat="1" ht="15" customHeight="1" x14ac:dyDescent="0.25">
      <c r="A1" s="114" t="s">
        <v>106</v>
      </c>
      <c r="B1" s="756">
        <f>'Facility Site Specific Info.'!C4</f>
        <v>0</v>
      </c>
      <c r="C1" s="756"/>
      <c r="D1" s="756"/>
      <c r="E1" s="93"/>
      <c r="F1" s="10"/>
      <c r="G1" s="10"/>
      <c r="H1" s="10"/>
      <c r="I1" s="10"/>
      <c r="J1" s="10"/>
    </row>
    <row r="2" spans="1:27" s="2" customFormat="1" ht="15" customHeight="1" x14ac:dyDescent="0.25">
      <c r="A2" s="114" t="s">
        <v>194</v>
      </c>
      <c r="B2" s="757">
        <f>'Facility Site Specific Info.'!C5</f>
        <v>0</v>
      </c>
      <c r="C2" s="757"/>
      <c r="D2" s="757"/>
      <c r="E2" s="93"/>
      <c r="F2" s="10"/>
      <c r="G2" s="10"/>
      <c r="H2" s="10"/>
      <c r="I2" s="10"/>
      <c r="J2" s="10"/>
    </row>
    <row r="3" spans="1:27" s="2" customFormat="1" ht="15" customHeight="1" x14ac:dyDescent="0.25">
      <c r="A3" s="114" t="s">
        <v>181</v>
      </c>
      <c r="B3" s="758">
        <f>'Facility Site Specific Info.'!C6</f>
        <v>0</v>
      </c>
      <c r="C3" s="758"/>
      <c r="D3" s="758"/>
      <c r="E3" s="93"/>
      <c r="F3" s="10"/>
      <c r="G3" s="10"/>
      <c r="H3" s="10"/>
      <c r="I3" s="10"/>
      <c r="J3" s="10"/>
    </row>
    <row r="4" spans="1:27" s="2" customFormat="1" ht="15" customHeight="1" x14ac:dyDescent="0.25">
      <c r="A4" s="114" t="s">
        <v>108</v>
      </c>
      <c r="B4" s="758">
        <f>'Facility Site Specific Info.'!C7</f>
        <v>0</v>
      </c>
      <c r="C4" s="758"/>
      <c r="D4" s="758"/>
      <c r="E4" s="93"/>
      <c r="F4" s="10"/>
      <c r="G4" s="10"/>
      <c r="H4" s="10"/>
      <c r="I4" s="10"/>
      <c r="J4" s="10"/>
    </row>
    <row r="5" spans="1:27" s="2" customFormat="1" ht="15" customHeight="1" x14ac:dyDescent="0.25">
      <c r="A5" s="114" t="s">
        <v>182</v>
      </c>
      <c r="B5" s="757">
        <f>'Facility Site Specific Info.'!C8</f>
        <v>0</v>
      </c>
      <c r="C5" s="757"/>
      <c r="D5" s="757"/>
      <c r="E5" s="93"/>
      <c r="F5" s="10"/>
      <c r="G5" s="10"/>
      <c r="H5" s="10"/>
      <c r="I5" s="10"/>
      <c r="J5" s="10"/>
    </row>
    <row r="6" spans="1:27" s="2" customFormat="1" ht="15" customHeight="1" x14ac:dyDescent="0.25">
      <c r="A6" s="114" t="s">
        <v>107</v>
      </c>
      <c r="B6" s="752">
        <f>'Facility Site Specific Info.'!C9</f>
        <v>0</v>
      </c>
      <c r="C6" s="752"/>
      <c r="D6" s="752"/>
      <c r="E6" s="93"/>
      <c r="F6" s="10"/>
      <c r="G6" s="10"/>
      <c r="H6" s="10"/>
      <c r="I6" s="10"/>
      <c r="J6" s="10"/>
    </row>
    <row r="7" spans="1:27" s="2" customFormat="1" ht="15" customHeight="1" x14ac:dyDescent="0.25">
      <c r="A7" s="114"/>
      <c r="B7" s="98"/>
      <c r="C7" s="98"/>
      <c r="D7" s="98"/>
      <c r="E7" s="93"/>
      <c r="F7" s="10"/>
      <c r="G7" s="10"/>
      <c r="H7" s="10"/>
      <c r="I7" s="10"/>
      <c r="J7" s="10"/>
    </row>
    <row r="8" spans="1:27" s="2" customFormat="1" ht="15" customHeight="1" x14ac:dyDescent="0.25">
      <c r="A8" s="17" t="s">
        <v>342</v>
      </c>
      <c r="B8" s="19">
        <f>'Facility Site Specific Info.'!C42</f>
        <v>0</v>
      </c>
      <c r="C8" s="92" t="s">
        <v>322</v>
      </c>
      <c r="D8" s="194"/>
      <c r="E8" s="93"/>
      <c r="F8" s="18"/>
      <c r="G8" s="18"/>
      <c r="H8" s="18"/>
      <c r="I8" s="18"/>
      <c r="J8" s="18"/>
      <c r="K8" s="31"/>
      <c r="L8" s="31"/>
      <c r="M8" s="31"/>
      <c r="N8" s="3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s="2" customFormat="1" ht="15" customHeight="1" x14ac:dyDescent="0.25">
      <c r="A9" s="17" t="s">
        <v>343</v>
      </c>
      <c r="B9" s="19">
        <f>'Facility Site Specific Info.'!C43</f>
        <v>0</v>
      </c>
      <c r="C9" s="92" t="s">
        <v>121</v>
      </c>
      <c r="D9" s="76"/>
      <c r="E9" s="18"/>
      <c r="F9" s="18"/>
      <c r="G9" s="18"/>
      <c r="H9" s="18"/>
      <c r="I9" s="18"/>
      <c r="J9" s="18"/>
      <c r="K9" s="31"/>
      <c r="L9" s="31"/>
      <c r="M9" s="31"/>
      <c r="N9" s="3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s="2" customFormat="1" ht="15" customHeight="1" x14ac:dyDescent="0.25">
      <c r="A10" s="17" t="s">
        <v>345</v>
      </c>
      <c r="B10" s="263">
        <f>B8*43560*B9*7.4805</f>
        <v>0</v>
      </c>
      <c r="C10" s="261" t="s">
        <v>339</v>
      </c>
      <c r="D10" s="76"/>
      <c r="E10" s="18"/>
      <c r="F10" s="18"/>
      <c r="G10" s="18"/>
      <c r="H10" s="18"/>
      <c r="I10" s="18"/>
      <c r="J10" s="18"/>
      <c r="K10" s="31"/>
      <c r="L10" s="31" t="s">
        <v>35</v>
      </c>
      <c r="M10" s="31" t="s">
        <v>36</v>
      </c>
      <c r="N10" s="3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s="2" customFormat="1" ht="15" customHeight="1" x14ac:dyDescent="0.25">
      <c r="A11" s="17" t="s">
        <v>344</v>
      </c>
      <c r="B11" s="263">
        <f>B8*43560*'Facility Site Specific Info.'!C44/27</f>
        <v>0</v>
      </c>
      <c r="C11" s="261" t="s">
        <v>340</v>
      </c>
      <c r="D11" s="76"/>
      <c r="E11" s="18"/>
      <c r="F11" s="18"/>
      <c r="G11" s="18"/>
      <c r="H11" s="18"/>
      <c r="I11" s="18"/>
      <c r="J11" s="18"/>
      <c r="K11" s="31"/>
      <c r="L11" s="31"/>
      <c r="M11" s="31"/>
      <c r="N11" s="3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s="2" customFormat="1" ht="15" customHeight="1" x14ac:dyDescent="0.25">
      <c r="A12" s="17" t="s">
        <v>101</v>
      </c>
      <c r="B12" s="263">
        <f>B11*1.5</f>
        <v>0</v>
      </c>
      <c r="C12" s="261" t="s">
        <v>341</v>
      </c>
      <c r="D12" s="76"/>
      <c r="E12" s="18"/>
      <c r="F12" s="18"/>
      <c r="G12" s="18"/>
      <c r="H12" s="18"/>
      <c r="I12" s="18"/>
      <c r="J12" s="18"/>
      <c r="K12" s="31"/>
      <c r="L12" s="31"/>
      <c r="M12" s="31"/>
      <c r="N12" s="3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s="2" customFormat="1" ht="15" customHeight="1" x14ac:dyDescent="0.25">
      <c r="A13" s="17" t="s">
        <v>99</v>
      </c>
      <c r="B13" s="263">
        <f>B8*0.5*43560*7.4805</f>
        <v>0</v>
      </c>
      <c r="C13" s="261" t="s">
        <v>339</v>
      </c>
      <c r="D13" s="76"/>
      <c r="E13" s="18"/>
      <c r="F13" s="18"/>
      <c r="G13" s="18"/>
      <c r="H13" s="18"/>
      <c r="I13" s="18"/>
      <c r="J13" s="18"/>
      <c r="K13" s="31"/>
      <c r="L13" s="31"/>
      <c r="M13" s="31"/>
      <c r="N13" s="3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s="2" customFormat="1" ht="15" customHeight="1" thickBot="1" x14ac:dyDescent="0.3">
      <c r="A14" s="260"/>
      <c r="B14" s="20"/>
      <c r="C14" s="261"/>
      <c r="D14" s="76"/>
      <c r="E14" s="18"/>
      <c r="F14" s="18"/>
      <c r="G14" s="18"/>
      <c r="H14" s="18"/>
      <c r="I14" s="18"/>
      <c r="J14" s="18"/>
      <c r="K14" s="31"/>
      <c r="L14" s="31"/>
      <c r="M14" s="31"/>
      <c r="N14" s="3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33" thickTop="1" thickBot="1" x14ac:dyDescent="0.3">
      <c r="A15" s="771" t="s">
        <v>338</v>
      </c>
      <c r="B15" s="772"/>
      <c r="C15" s="772"/>
      <c r="D15" s="772"/>
      <c r="E15" s="772"/>
      <c r="F15" s="772"/>
      <c r="G15" s="772"/>
      <c r="H15" s="773"/>
      <c r="I15" s="23"/>
      <c r="J15" s="23"/>
      <c r="K15" s="2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7" ht="17.25" thickTop="1" thickBot="1" x14ac:dyDescent="0.3">
      <c r="A16" s="551" t="s">
        <v>22</v>
      </c>
      <c r="B16" s="196" t="s">
        <v>0</v>
      </c>
      <c r="C16" s="196" t="s">
        <v>1</v>
      </c>
      <c r="D16" s="197" t="s">
        <v>2</v>
      </c>
      <c r="E16" s="198" t="s">
        <v>43</v>
      </c>
      <c r="F16" s="199" t="s">
        <v>3</v>
      </c>
      <c r="G16" s="196" t="s">
        <v>4</v>
      </c>
      <c r="H16" s="200" t="s">
        <v>26</v>
      </c>
      <c r="I16" s="23"/>
      <c r="J16" s="23"/>
      <c r="K16" s="2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1" x14ac:dyDescent="0.35">
      <c r="A17" s="552" t="s">
        <v>82</v>
      </c>
      <c r="B17" s="227"/>
      <c r="C17" s="238"/>
      <c r="D17" s="375"/>
      <c r="E17" s="227"/>
      <c r="F17" s="227"/>
      <c r="G17" s="227"/>
      <c r="H17" s="270"/>
      <c r="I17" s="23"/>
      <c r="J17" s="23"/>
      <c r="K17" s="2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x14ac:dyDescent="0.25">
      <c r="A18" s="588" t="s">
        <v>346</v>
      </c>
      <c r="B18" s="444">
        <f>ROUNDUP('Facility Site Specific Info.'!C41/7,0)</f>
        <v>0</v>
      </c>
      <c r="C18" s="458" t="s">
        <v>349</v>
      </c>
      <c r="D18" s="637">
        <v>650</v>
      </c>
      <c r="E18" s="348">
        <f>'Facility Site Specific Info.'!$D$13</f>
        <v>0</v>
      </c>
      <c r="F18" s="313">
        <f>B18*D18*E18</f>
        <v>0</v>
      </c>
      <c r="G18" s="269"/>
      <c r="H18" s="204" t="s">
        <v>432</v>
      </c>
      <c r="I18" s="23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s="2" customFormat="1" x14ac:dyDescent="0.25">
      <c r="A19" s="589" t="s">
        <v>164</v>
      </c>
      <c r="B19" s="445">
        <f>(((B10/800)/60)+(B13/800/60))</f>
        <v>0</v>
      </c>
      <c r="C19" s="329" t="s">
        <v>348</v>
      </c>
      <c r="D19" s="638">
        <v>41</v>
      </c>
      <c r="E19" s="349">
        <f>'Facility Site Specific Info.'!$D$13</f>
        <v>0</v>
      </c>
      <c r="F19" s="315">
        <f t="shared" ref="F19:F21" si="0">B19*D19*E19</f>
        <v>0</v>
      </c>
      <c r="G19" s="325"/>
      <c r="H19" s="204" t="s">
        <v>432</v>
      </c>
      <c r="I19" s="23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30" x14ac:dyDescent="0.25">
      <c r="A20" s="577" t="s">
        <v>370</v>
      </c>
      <c r="B20" s="445">
        <f>B12</f>
        <v>0</v>
      </c>
      <c r="C20" s="329" t="s">
        <v>347</v>
      </c>
      <c r="D20" s="638">
        <v>50</v>
      </c>
      <c r="E20" s="349">
        <f>'Facility Site Specific Info.'!$D$13</f>
        <v>0</v>
      </c>
      <c r="F20" s="315">
        <f t="shared" si="0"/>
        <v>0</v>
      </c>
      <c r="G20" s="370"/>
      <c r="H20" s="204" t="s">
        <v>432</v>
      </c>
      <c r="I20" s="23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x14ac:dyDescent="0.25">
      <c r="A21" s="577" t="s">
        <v>81</v>
      </c>
      <c r="B21" s="446">
        <f>B11*2</f>
        <v>0</v>
      </c>
      <c r="C21" s="459" t="s">
        <v>171</v>
      </c>
      <c r="D21" s="639">
        <v>3.5</v>
      </c>
      <c r="E21" s="350">
        <f>'Facility Site Specific Info.'!$D$13</f>
        <v>0</v>
      </c>
      <c r="F21" s="382">
        <f t="shared" si="0"/>
        <v>0</v>
      </c>
      <c r="G21" s="325" t="s">
        <v>5</v>
      </c>
      <c r="H21" s="204" t="s">
        <v>432</v>
      </c>
      <c r="I21" s="23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s="2" customFormat="1" ht="21" x14ac:dyDescent="0.35">
      <c r="A22" s="557" t="s">
        <v>383</v>
      </c>
      <c r="B22" s="435"/>
      <c r="C22" s="216"/>
      <c r="D22" s="217"/>
      <c r="E22" s="351"/>
      <c r="F22" s="383"/>
      <c r="G22" s="371"/>
      <c r="H22" s="271"/>
      <c r="I22" s="23"/>
      <c r="J22" s="23"/>
      <c r="K22" s="23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s="2" customFormat="1" ht="21" x14ac:dyDescent="0.35">
      <c r="A23" s="590" t="str">
        <f>IF('Facility Site Specific Info.'!C39="No; List Item on Right",'Facility Site Specific Info.'!G39,"No Alternative Dewatering Method from Facility")</f>
        <v>No Alternative Dewatering Method from Facility</v>
      </c>
      <c r="B23" s="635" t="str">
        <f>IF('Facility Site Specific Info.'!C39="Yes",0,'Facility Site Specific Info.'!H39)</f>
        <v>###</v>
      </c>
      <c r="C23" s="631" t="s">
        <v>167</v>
      </c>
      <c r="D23" s="640" t="str">
        <f>IF(B23=0,0,'Facility Site Specific Info.'!J39)</f>
        <v>###</v>
      </c>
      <c r="E23" s="633"/>
      <c r="F23" s="313" t="e">
        <f>B23*D23</f>
        <v>#VALUE!</v>
      </c>
      <c r="G23" s="372"/>
      <c r="H23" s="204" t="s">
        <v>436</v>
      </c>
      <c r="I23" s="23"/>
      <c r="J23" s="23"/>
      <c r="K23" s="23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s="2" customFormat="1" ht="21" x14ac:dyDescent="0.35">
      <c r="A24" s="591" t="str">
        <f>IF('Facility Site Specific Info.'!C39="No; List Item on Right",'Facility Site Specific Info.'!G40,"No Alternative Solidification Method from Facility")</f>
        <v>No Alternative Solidification Method from Facility</v>
      </c>
      <c r="B24" s="636" t="str">
        <f>IF('Facility Site Specific Info.'!C39="Yes",0,'Facility Site Specific Info.'!H40)</f>
        <v>###</v>
      </c>
      <c r="C24" s="632" t="s">
        <v>171</v>
      </c>
      <c r="D24" s="641" t="str">
        <f>IF(B24=0,0,'Facility Site Specific Info.'!J40)</f>
        <v>###</v>
      </c>
      <c r="E24" s="634"/>
      <c r="F24" s="382" t="e">
        <f>B24*D24</f>
        <v>#VALUE!</v>
      </c>
      <c r="G24" s="373"/>
      <c r="H24" s="204" t="s">
        <v>436</v>
      </c>
      <c r="I24" s="23"/>
      <c r="J24" s="23"/>
      <c r="K24" s="23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5.75" thickBot="1" x14ac:dyDescent="0.3">
      <c r="A25" s="560" t="s">
        <v>350</v>
      </c>
      <c r="B25" s="437"/>
      <c r="C25" s="239"/>
      <c r="D25" s="219"/>
      <c r="E25" s="352"/>
      <c r="F25" s="384"/>
      <c r="G25" s="374" t="e">
        <f>SUM(F18:F21)+SUM(F23:F24)</f>
        <v>#VALUE!</v>
      </c>
      <c r="H25" s="205"/>
      <c r="I25" s="23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37.5" x14ac:dyDescent="0.35">
      <c r="A26" s="552" t="s">
        <v>469</v>
      </c>
      <c r="B26" s="454"/>
      <c r="C26" s="238"/>
      <c r="D26" s="375"/>
      <c r="E26" s="353"/>
      <c r="F26" s="375"/>
      <c r="G26" s="375"/>
      <c r="H26" s="270"/>
      <c r="I26" s="23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x14ac:dyDescent="0.25">
      <c r="A27" s="585" t="s">
        <v>165</v>
      </c>
      <c r="B27" s="447">
        <f>B12*2*IF('Facility Site Specific Info.'!C36="Yes",1,0)</f>
        <v>0</v>
      </c>
      <c r="C27" s="328" t="s">
        <v>347</v>
      </c>
      <c r="D27" s="385">
        <v>40</v>
      </c>
      <c r="E27" s="354">
        <f>'Facility Site Specific Info.'!$D$13</f>
        <v>0</v>
      </c>
      <c r="F27" s="385">
        <f>B27*D27*E27</f>
        <v>0</v>
      </c>
      <c r="G27" s="281"/>
      <c r="H27" s="204" t="s">
        <v>432</v>
      </c>
      <c r="I27" s="23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x14ac:dyDescent="0.25">
      <c r="A28" s="599" t="s">
        <v>450</v>
      </c>
      <c r="B28" s="448">
        <f>B11*2*IF('Facility Site Specific Info.'!C36="Yes",1,0)</f>
        <v>0</v>
      </c>
      <c r="C28" s="460" t="s">
        <v>171</v>
      </c>
      <c r="D28" s="642">
        <f>IF('Facility Site Specific Info.'!C47&lt;21,(('Facility Site Specific Info.'!C47/20)*10),10)</f>
        <v>0</v>
      </c>
      <c r="E28" s="355">
        <f>'Facility Site Specific Info.'!$D$13</f>
        <v>0</v>
      </c>
      <c r="F28" s="386">
        <f t="shared" ref="F28:F29" si="1">B28*D28*E28</f>
        <v>0</v>
      </c>
      <c r="G28" s="281"/>
      <c r="H28" s="646" t="s">
        <v>452</v>
      </c>
      <c r="I28" s="23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x14ac:dyDescent="0.25">
      <c r="A29" s="599" t="s">
        <v>451</v>
      </c>
      <c r="B29" s="449">
        <f>B11*2*IF('Facility Site Specific Info.'!C36="Yes",1,0)</f>
        <v>0</v>
      </c>
      <c r="C29" s="461" t="s">
        <v>171</v>
      </c>
      <c r="D29" s="387">
        <v>3</v>
      </c>
      <c r="E29" s="356">
        <f>'Facility Site Specific Info.'!$D$13</f>
        <v>0</v>
      </c>
      <c r="F29" s="387">
        <f t="shared" si="1"/>
        <v>0</v>
      </c>
      <c r="G29" s="281"/>
      <c r="H29" s="646" t="s">
        <v>453</v>
      </c>
      <c r="I29" s="23"/>
      <c r="J29" s="23"/>
      <c r="K29" s="23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5.75" thickBot="1" x14ac:dyDescent="0.3">
      <c r="A30" s="560" t="s">
        <v>351</v>
      </c>
      <c r="B30" s="437"/>
      <c r="C30" s="239"/>
      <c r="D30" s="219"/>
      <c r="E30" s="352"/>
      <c r="F30" s="384"/>
      <c r="G30" s="374">
        <f>SUM(F27:F29)</f>
        <v>0</v>
      </c>
      <c r="H30" s="205"/>
      <c r="I30" s="23"/>
      <c r="J30" s="23"/>
      <c r="K30" s="23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s="2" customFormat="1" ht="21" x14ac:dyDescent="0.35">
      <c r="A31" s="552" t="s">
        <v>384</v>
      </c>
      <c r="B31" s="454"/>
      <c r="C31" s="238"/>
      <c r="D31" s="375"/>
      <c r="E31" s="353"/>
      <c r="F31" s="375"/>
      <c r="G31" s="375"/>
      <c r="H31" s="270"/>
      <c r="I31" s="23"/>
      <c r="J31" s="23"/>
      <c r="K31" s="23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s="2" customFormat="1" ht="15" customHeight="1" x14ac:dyDescent="0.25">
      <c r="A32" s="592" t="s">
        <v>170</v>
      </c>
      <c r="B32" s="455">
        <f>B8*IF('Facility Site Specific Info.'!C36="Yes",0,1)</f>
        <v>0</v>
      </c>
      <c r="C32" s="607" t="s">
        <v>7</v>
      </c>
      <c r="D32" s="369">
        <v>3150</v>
      </c>
      <c r="E32" s="357">
        <f>'Facility Site Specific Info.'!$D$13</f>
        <v>0</v>
      </c>
      <c r="F32" s="388">
        <f t="shared" ref="F32:F35" si="2">E32*D32*B32</f>
        <v>0</v>
      </c>
      <c r="G32" s="376"/>
      <c r="H32" s="204" t="s">
        <v>400</v>
      </c>
      <c r="I32" s="23"/>
      <c r="J32" s="23"/>
      <c r="K32" s="23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s="2" customFormat="1" ht="15" customHeight="1" x14ac:dyDescent="0.25">
      <c r="A33" s="593" t="s">
        <v>88</v>
      </c>
      <c r="B33" s="456">
        <f>((B8*43560*2)/27)*IF('Facility Site Specific Info.'!C36="Yes",0,1)</f>
        <v>0</v>
      </c>
      <c r="C33" s="608" t="s">
        <v>171</v>
      </c>
      <c r="D33" s="368">
        <v>1.5</v>
      </c>
      <c r="E33" s="358">
        <f>'Facility Site Specific Info.'!$D$13</f>
        <v>0</v>
      </c>
      <c r="F33" s="389">
        <f t="shared" si="2"/>
        <v>0</v>
      </c>
      <c r="G33" s="377"/>
      <c r="H33" s="204" t="s">
        <v>401</v>
      </c>
      <c r="I33" s="23"/>
      <c r="J33" s="23"/>
      <c r="K33" s="23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s="2" customFormat="1" ht="15" customHeight="1" x14ac:dyDescent="0.25">
      <c r="A34" s="593" t="s">
        <v>169</v>
      </c>
      <c r="B34" s="456">
        <f>B8*IF('Facility Site Specific Info.'!C36="Yes",0,1)</f>
        <v>0</v>
      </c>
      <c r="C34" s="608" t="s">
        <v>7</v>
      </c>
      <c r="D34" s="615">
        <f>40*43.56</f>
        <v>1742.4</v>
      </c>
      <c r="E34" s="358">
        <f>'Facility Site Specific Info.'!$D$13</f>
        <v>0</v>
      </c>
      <c r="F34" s="389">
        <f t="shared" si="2"/>
        <v>0</v>
      </c>
      <c r="G34" s="377"/>
      <c r="H34" s="204" t="s">
        <v>403</v>
      </c>
      <c r="I34" s="23"/>
      <c r="J34" s="23"/>
      <c r="K34" s="23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s="2" customFormat="1" ht="15" customHeight="1" x14ac:dyDescent="0.25">
      <c r="A35" s="593" t="s">
        <v>89</v>
      </c>
      <c r="B35" s="457">
        <f>B8*43560*IF('Facility Site Specific Info.'!C36="Yes",0,1)</f>
        <v>0</v>
      </c>
      <c r="C35" s="609" t="s">
        <v>172</v>
      </c>
      <c r="D35" s="643">
        <v>0.6</v>
      </c>
      <c r="E35" s="359">
        <f>'Facility Site Specific Info.'!$D$13</f>
        <v>0</v>
      </c>
      <c r="F35" s="390">
        <f t="shared" si="2"/>
        <v>0</v>
      </c>
      <c r="G35" s="377"/>
      <c r="H35" s="204" t="s">
        <v>432</v>
      </c>
      <c r="I35" s="23"/>
      <c r="J35" s="23"/>
      <c r="K35" s="23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s="2" customFormat="1" ht="15" customHeight="1" x14ac:dyDescent="0.25">
      <c r="A36" s="586" t="s">
        <v>100</v>
      </c>
      <c r="B36" s="457">
        <f>B35</f>
        <v>0</v>
      </c>
      <c r="C36" s="462" t="s">
        <v>172</v>
      </c>
      <c r="D36" s="643">
        <v>0.37</v>
      </c>
      <c r="E36" s="359">
        <f>'Facility Site Specific Info.'!$D$13</f>
        <v>0</v>
      </c>
      <c r="F36" s="390">
        <f>E36*D36*B36</f>
        <v>0</v>
      </c>
      <c r="G36" s="376"/>
      <c r="H36" s="204" t="s">
        <v>432</v>
      </c>
      <c r="I36" s="23"/>
      <c r="J36" s="23"/>
      <c r="K36" s="23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s="2" customFormat="1" ht="15" customHeight="1" x14ac:dyDescent="0.35">
      <c r="A37" s="557" t="s">
        <v>94</v>
      </c>
      <c r="B37" s="435"/>
      <c r="C37" s="216"/>
      <c r="D37" s="217"/>
      <c r="E37" s="351"/>
      <c r="F37" s="217"/>
      <c r="G37" s="378"/>
      <c r="H37" s="647"/>
      <c r="I37" s="23"/>
      <c r="J37" s="23"/>
      <c r="K37" s="23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s="2" customFormat="1" ht="15" customHeight="1" x14ac:dyDescent="0.25">
      <c r="A38" s="594" t="s">
        <v>91</v>
      </c>
      <c r="B38" s="455">
        <f>(B8*43560*2)/27*IF('Facility Site Specific Info.'!C36="Yes",0,1)</f>
        <v>0</v>
      </c>
      <c r="C38" s="463" t="s">
        <v>171</v>
      </c>
      <c r="D38" s="612">
        <v>2.97</v>
      </c>
      <c r="E38" s="357">
        <f>'Facility Site Specific Info.'!$D$13</f>
        <v>0</v>
      </c>
      <c r="F38" s="388">
        <f>B38*D38*E38</f>
        <v>0</v>
      </c>
      <c r="G38" s="376"/>
      <c r="H38" s="204" t="s">
        <v>432</v>
      </c>
      <c r="I38" s="23"/>
      <c r="J38" s="23"/>
      <c r="K38" s="23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s="2" customFormat="1" ht="15" customHeight="1" x14ac:dyDescent="0.25">
      <c r="A39" s="594" t="s">
        <v>455</v>
      </c>
      <c r="B39" s="457">
        <f>B38</f>
        <v>0</v>
      </c>
      <c r="C39" s="462" t="s">
        <v>171</v>
      </c>
      <c r="D39" s="613">
        <v>2.9</v>
      </c>
      <c r="E39" s="359">
        <f>'Facility Site Specific Info.'!$D$13</f>
        <v>0</v>
      </c>
      <c r="F39" s="390">
        <f>E39*D39*B39</f>
        <v>0</v>
      </c>
      <c r="G39" s="376"/>
      <c r="H39" s="204" t="s">
        <v>434</v>
      </c>
      <c r="I39" s="23"/>
      <c r="J39" s="23"/>
      <c r="K39" s="23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s="2" customFormat="1" ht="15" customHeight="1" x14ac:dyDescent="0.25">
      <c r="A40" s="557" t="s">
        <v>90</v>
      </c>
      <c r="B40" s="435"/>
      <c r="C40" s="216"/>
      <c r="D40" s="217"/>
      <c r="E40" s="351"/>
      <c r="F40" s="217"/>
      <c r="G40" s="378"/>
      <c r="H40" s="204"/>
      <c r="I40" s="23"/>
      <c r="J40" s="23"/>
      <c r="K40" s="23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s="2" customFormat="1" ht="15" customHeight="1" x14ac:dyDescent="0.25">
      <c r="A41" s="595" t="s">
        <v>393</v>
      </c>
      <c r="B41" s="455">
        <f>(B8*43560*2)/27*IF('Facility Site Specific Info.'!C36="Yes",0,1)</f>
        <v>0</v>
      </c>
      <c r="C41" s="463" t="s">
        <v>171</v>
      </c>
      <c r="D41" s="612">
        <v>2.97</v>
      </c>
      <c r="E41" s="357">
        <f>'Facility Site Specific Info.'!$D$13</f>
        <v>0</v>
      </c>
      <c r="F41" s="388">
        <f>B41*D41*E41</f>
        <v>0</v>
      </c>
      <c r="G41" s="376"/>
      <c r="H41" s="204" t="s">
        <v>432</v>
      </c>
      <c r="I41" s="23"/>
      <c r="J41" s="23"/>
      <c r="K41" s="23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s="2" customFormat="1" ht="15" customHeight="1" x14ac:dyDescent="0.25">
      <c r="A42" s="594" t="s">
        <v>166</v>
      </c>
      <c r="B42" s="456">
        <f>B41</f>
        <v>0</v>
      </c>
      <c r="C42" s="464" t="s">
        <v>171</v>
      </c>
      <c r="D42" s="644">
        <f>IF('Facility Site Specific Info.'!C38&lt;5,0.7*'Facility Site Specific Info.'!C38+2,IF('Facility Site Specific Info.'!C38&lt;20,0.63*'Facility Site Specific Info.'!C38+1.55,12.5))</f>
        <v>2</v>
      </c>
      <c r="E42" s="358">
        <f>'Facility Site Specific Info.'!$D$13</f>
        <v>0</v>
      </c>
      <c r="F42" s="389">
        <f>E42*D42*B42</f>
        <v>0</v>
      </c>
      <c r="G42" s="376"/>
      <c r="H42" s="204" t="s">
        <v>435</v>
      </c>
      <c r="I42" s="23"/>
      <c r="J42" s="23"/>
      <c r="K42" s="23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s="2" customFormat="1" ht="15.75" thickBot="1" x14ac:dyDescent="0.3">
      <c r="A43" s="560" t="s">
        <v>352</v>
      </c>
      <c r="B43" s="437"/>
      <c r="C43" s="239"/>
      <c r="D43" s="219"/>
      <c r="E43" s="352"/>
      <c r="F43" s="384"/>
      <c r="G43" s="374">
        <f>SUM(F38:F42)</f>
        <v>0</v>
      </c>
      <c r="H43" s="648"/>
      <c r="I43" s="23"/>
      <c r="J43" s="23"/>
      <c r="K43" s="23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21" x14ac:dyDescent="0.35">
      <c r="A44" s="552" t="s">
        <v>472</v>
      </c>
      <c r="B44" s="454"/>
      <c r="C44" s="238"/>
      <c r="D44" s="375"/>
      <c r="E44" s="353"/>
      <c r="F44" s="375"/>
      <c r="G44" s="375"/>
      <c r="H44" s="270"/>
      <c r="I44" s="23"/>
      <c r="J44" s="23"/>
      <c r="K44" s="23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x14ac:dyDescent="0.25">
      <c r="A45" s="583" t="s">
        <v>95</v>
      </c>
      <c r="B45" s="450">
        <f>4+ROUNDUP(B8*4,0)</f>
        <v>4</v>
      </c>
      <c r="C45" s="328" t="s">
        <v>353</v>
      </c>
      <c r="D45" s="385">
        <v>356.25</v>
      </c>
      <c r="E45" s="354">
        <f>'Facility Site Specific Info.'!$D$13</f>
        <v>0</v>
      </c>
      <c r="F45" s="385">
        <f>B45*D45*E45</f>
        <v>0</v>
      </c>
      <c r="G45" s="281"/>
      <c r="H45" s="204" t="s">
        <v>432</v>
      </c>
      <c r="I45" s="23"/>
      <c r="J45" s="23"/>
      <c r="K45" s="23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x14ac:dyDescent="0.25">
      <c r="A46" s="577" t="s">
        <v>96</v>
      </c>
      <c r="B46" s="314">
        <f>IF('Facility Site Specific Info.'!C33="Yes",1,0)</f>
        <v>0</v>
      </c>
      <c r="C46" s="329" t="s">
        <v>354</v>
      </c>
      <c r="D46" s="386">
        <v>2000</v>
      </c>
      <c r="E46" s="360">
        <f>'Facility Site Specific Info.'!$D$13</f>
        <v>0</v>
      </c>
      <c r="F46" s="386">
        <f t="shared" ref="F46:F47" si="3">B46*D46*E46</f>
        <v>0</v>
      </c>
      <c r="G46" s="281"/>
      <c r="H46" s="204" t="s">
        <v>432</v>
      </c>
      <c r="I46" s="23"/>
      <c r="J46" s="23"/>
      <c r="K46" s="23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x14ac:dyDescent="0.25">
      <c r="A47" s="577" t="s">
        <v>97</v>
      </c>
      <c r="B47" s="314">
        <f>IF('Facility Site Specific Info.'!C33="Yes",1,0)</f>
        <v>0</v>
      </c>
      <c r="C47" s="329" t="s">
        <v>354</v>
      </c>
      <c r="D47" s="386">
        <v>4000</v>
      </c>
      <c r="E47" s="360">
        <f>'Facility Site Specific Info.'!$D$13</f>
        <v>0</v>
      </c>
      <c r="F47" s="386">
        <f t="shared" si="3"/>
        <v>0</v>
      </c>
      <c r="G47" s="710"/>
      <c r="H47" s="204" t="s">
        <v>432</v>
      </c>
      <c r="I47" s="23"/>
      <c r="J47" s="23"/>
      <c r="K47" s="23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s="2" customFormat="1" x14ac:dyDescent="0.25">
      <c r="A48" s="572" t="s">
        <v>473</v>
      </c>
      <c r="B48" s="455">
        <f>IF('Facility Site Specific Info.'!C36="Yes",1,0)</f>
        <v>0</v>
      </c>
      <c r="C48" s="463" t="s">
        <v>167</v>
      </c>
      <c r="D48" s="709">
        <f>IF('Facility Site Specific Info.'!C42&lt;10,10000,IF('Facility Site Specific Info.'!C42&lt;50,20000,30000))*B48</f>
        <v>0</v>
      </c>
      <c r="E48" s="357">
        <f>'Facility Site Specific Info.'!$D$13</f>
        <v>0</v>
      </c>
      <c r="F48" s="388">
        <f>B48*D48*E48</f>
        <v>0</v>
      </c>
      <c r="G48" s="377"/>
      <c r="H48" s="708"/>
      <c r="I48" s="23"/>
      <c r="J48" s="23"/>
      <c r="K48" s="23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39" ht="15.75" thickBot="1" x14ac:dyDescent="0.3">
      <c r="A49" s="584" t="s">
        <v>98</v>
      </c>
      <c r="B49" s="277"/>
      <c r="C49" s="465"/>
      <c r="D49" s="278"/>
      <c r="E49" s="278"/>
      <c r="F49" s="391"/>
      <c r="G49" s="379">
        <f>SUM(F45:F48)</f>
        <v>0</v>
      </c>
      <c r="H49" s="283"/>
      <c r="I49" s="23"/>
      <c r="J49" s="23"/>
      <c r="K49" s="23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39" ht="21.75" thickBot="1" x14ac:dyDescent="0.4">
      <c r="A50" s="748" t="s">
        <v>355</v>
      </c>
      <c r="B50" s="749"/>
      <c r="C50" s="749"/>
      <c r="D50" s="749"/>
      <c r="E50" s="749"/>
      <c r="F50" s="749"/>
      <c r="G50" s="380" t="e">
        <f>G49+G30+G25+G43</f>
        <v>#VALUE!</v>
      </c>
      <c r="H50" s="284"/>
      <c r="I50" s="23"/>
      <c r="J50" s="23"/>
      <c r="K50" s="23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39" s="2" customFormat="1" ht="20.100000000000001" customHeight="1" x14ac:dyDescent="0.35">
      <c r="A51" s="561" t="s">
        <v>65</v>
      </c>
      <c r="B51" s="452"/>
      <c r="C51" s="252"/>
      <c r="D51" s="234"/>
      <c r="E51" s="235"/>
      <c r="F51" s="234"/>
      <c r="G51" s="234"/>
      <c r="H51" s="285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39" s="2" customFormat="1" x14ac:dyDescent="0.25">
      <c r="A52" s="596" t="s">
        <v>93</v>
      </c>
      <c r="B52" s="453">
        <f>IF('Facility Site Specific Info.'!C33="Yes",1,0)</f>
        <v>0</v>
      </c>
      <c r="C52" s="466" t="s">
        <v>354</v>
      </c>
      <c r="D52" s="298">
        <v>4000</v>
      </c>
      <c r="E52" s="361"/>
      <c r="F52" s="298">
        <f>E52*D52*B52</f>
        <v>0</v>
      </c>
      <c r="G52" s="325"/>
      <c r="H52" s="649"/>
      <c r="I52" s="23"/>
      <c r="J52" s="23"/>
      <c r="K52" s="23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39" x14ac:dyDescent="0.25">
      <c r="A53" s="586" t="s">
        <v>30</v>
      </c>
      <c r="B53" s="314">
        <f>B52</f>
        <v>0</v>
      </c>
      <c r="C53" s="329" t="s">
        <v>167</v>
      </c>
      <c r="D53" s="645">
        <v>0.05</v>
      </c>
      <c r="E53" s="275"/>
      <c r="F53" s="386" t="e">
        <f>G50*0.05</f>
        <v>#VALUE!</v>
      </c>
      <c r="G53" s="281" t="s">
        <v>5</v>
      </c>
      <c r="H53" s="649"/>
      <c r="I53" s="23"/>
      <c r="J53" s="23"/>
      <c r="K53" s="23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39" x14ac:dyDescent="0.25">
      <c r="A54" s="586" t="s">
        <v>31</v>
      </c>
      <c r="B54" s="314">
        <f>B52</f>
        <v>0</v>
      </c>
      <c r="C54" s="445" t="s">
        <v>167</v>
      </c>
      <c r="D54" s="645">
        <v>0.1</v>
      </c>
      <c r="E54" s="275"/>
      <c r="F54" s="386" t="e">
        <f>G50*0.1</f>
        <v>#VALUE!</v>
      </c>
      <c r="G54" s="280" t="s">
        <v>5</v>
      </c>
      <c r="H54" s="649"/>
      <c r="I54" s="23"/>
      <c r="J54" s="23"/>
      <c r="K54" s="23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39" ht="15.75" thickBot="1" x14ac:dyDescent="0.3">
      <c r="A55" s="584" t="s">
        <v>356</v>
      </c>
      <c r="B55" s="277"/>
      <c r="C55" s="277"/>
      <c r="D55" s="278"/>
      <c r="E55" s="278"/>
      <c r="F55" s="279"/>
      <c r="G55" s="379" t="e">
        <f>SUM(F52:F54)</f>
        <v>#VALUE!</v>
      </c>
      <c r="H55" s="283"/>
      <c r="I55" s="23"/>
      <c r="J55" s="23"/>
      <c r="K55" s="23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39" ht="21.75" thickBot="1" x14ac:dyDescent="0.4">
      <c r="A56" s="768" t="s">
        <v>75</v>
      </c>
      <c r="B56" s="769"/>
      <c r="C56" s="769"/>
      <c r="D56" s="769"/>
      <c r="E56" s="769"/>
      <c r="F56" s="770"/>
      <c r="G56" s="381">
        <f>IF('Facility Site Specific Info.'!C33="Yes",(G55+G50),0)</f>
        <v>0</v>
      </c>
      <c r="H56" s="282"/>
      <c r="I56" s="23"/>
      <c r="J56" s="23"/>
      <c r="K56" s="23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39" ht="15.75" thickTop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</row>
    <row r="58" spans="1:39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</row>
    <row r="59" spans="1:39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</row>
    <row r="60" spans="1:39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1:39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</row>
    <row r="62" spans="1:39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</row>
    <row r="63" spans="1:39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</row>
    <row r="64" spans="1:39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</row>
    <row r="65" spans="1:39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</row>
    <row r="66" spans="1:39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</row>
    <row r="67" spans="1:39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</row>
    <row r="68" spans="1:39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</row>
    <row r="69" spans="1:39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</row>
    <row r="70" spans="1:39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</row>
    <row r="71" spans="1:39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</row>
    <row r="72" spans="1:39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</row>
    <row r="73" spans="1:39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</row>
    <row r="74" spans="1:39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</row>
    <row r="75" spans="1:39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</row>
    <row r="76" spans="1:39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</row>
    <row r="77" spans="1:39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</row>
    <row r="78" spans="1:39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</row>
    <row r="79" spans="1:39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</row>
    <row r="80" spans="1:39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</row>
    <row r="81" spans="1:39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</row>
    <row r="82" spans="1:39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</row>
    <row r="83" spans="1:39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</row>
    <row r="84" spans="1:39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</row>
    <row r="85" spans="1:39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</row>
    <row r="86" spans="1:39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</row>
    <row r="87" spans="1:39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</row>
    <row r="88" spans="1:39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</row>
    <row r="89" spans="1:39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</row>
    <row r="90" spans="1:39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</row>
    <row r="91" spans="1:39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</row>
    <row r="92" spans="1:39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</row>
    <row r="93" spans="1:39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</row>
    <row r="94" spans="1:39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</row>
    <row r="95" spans="1:39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</row>
    <row r="96" spans="1:39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</row>
    <row r="97" spans="1:39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</row>
    <row r="98" spans="1:39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</row>
    <row r="99" spans="1:39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</row>
    <row r="100" spans="1:39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</row>
    <row r="101" spans="1:39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</row>
    <row r="102" spans="1:39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</row>
    <row r="103" spans="1:39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</row>
    <row r="104" spans="1:39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</row>
    <row r="105" spans="1:39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</row>
    <row r="106" spans="1:39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</row>
    <row r="107" spans="1:39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</row>
    <row r="108" spans="1:39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</row>
    <row r="109" spans="1:39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</row>
    <row r="110" spans="1:39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</row>
    <row r="111" spans="1:39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</row>
    <row r="112" spans="1:39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</row>
    <row r="113" spans="1:39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</row>
    <row r="114" spans="1:39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</row>
    <row r="115" spans="1:39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</row>
    <row r="116" spans="1:39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</row>
    <row r="117" spans="1:39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</row>
    <row r="118" spans="1:39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</row>
    <row r="119" spans="1:39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</row>
    <row r="120" spans="1:39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</row>
    <row r="121" spans="1:39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</row>
    <row r="122" spans="1:39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</row>
    <row r="123" spans="1:39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</row>
    <row r="124" spans="1:39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</row>
    <row r="125" spans="1:39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</row>
    <row r="126" spans="1:39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</row>
    <row r="127" spans="1:39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</row>
    <row r="128" spans="1:39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</row>
    <row r="129" spans="1:39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</row>
    <row r="130" spans="1:39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</row>
    <row r="131" spans="1:39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</row>
    <row r="132" spans="1:39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</row>
    <row r="133" spans="1:39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</row>
    <row r="134" spans="1:39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</row>
    <row r="135" spans="1:39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</row>
    <row r="136" spans="1:39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</row>
    <row r="137" spans="1:39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</row>
    <row r="138" spans="1:39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</row>
    <row r="139" spans="1:39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</row>
    <row r="140" spans="1:39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</row>
    <row r="141" spans="1:39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</row>
    <row r="142" spans="1:39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</row>
    <row r="143" spans="1:39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</row>
    <row r="144" spans="1:39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</row>
    <row r="145" spans="1:39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</row>
    <row r="146" spans="1:39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</row>
    <row r="147" spans="1:39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</row>
    <row r="148" spans="1:39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</row>
    <row r="149" spans="1:39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</row>
    <row r="150" spans="1:39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</row>
    <row r="151" spans="1:39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</row>
    <row r="152" spans="1:39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</row>
    <row r="153" spans="1:39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</row>
    <row r="154" spans="1:39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</row>
    <row r="155" spans="1:39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</row>
    <row r="156" spans="1:39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</row>
    <row r="157" spans="1:39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</row>
    <row r="158" spans="1:39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</row>
    <row r="159" spans="1:39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</row>
    <row r="160" spans="1:39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</row>
    <row r="161" spans="1:39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</row>
    <row r="162" spans="1:39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</row>
    <row r="163" spans="1:39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</row>
    <row r="164" spans="1:39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</row>
    <row r="165" spans="1:39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</row>
    <row r="166" spans="1:39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</row>
    <row r="167" spans="1:39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</row>
    <row r="168" spans="1:39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</row>
    <row r="169" spans="1:39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</row>
    <row r="170" spans="1:39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</row>
    <row r="171" spans="1:39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</row>
    <row r="172" spans="1:39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</row>
    <row r="173" spans="1:39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</row>
    <row r="174" spans="1:39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</row>
    <row r="175" spans="1:39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</row>
    <row r="176" spans="1:39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</row>
    <row r="177" spans="1:39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</row>
    <row r="178" spans="1:39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</row>
  </sheetData>
  <mergeCells count="9">
    <mergeCell ref="A56:F56"/>
    <mergeCell ref="A50:F50"/>
    <mergeCell ref="A15:H15"/>
    <mergeCell ref="B6:D6"/>
    <mergeCell ref="B1:D1"/>
    <mergeCell ref="B2:D2"/>
    <mergeCell ref="B3:D3"/>
    <mergeCell ref="B4:D4"/>
    <mergeCell ref="B5:D5"/>
  </mergeCells>
  <dataValidations disablePrompts="1" count="1">
    <dataValidation type="list" allowBlank="1" showInputMessage="1" showErrorMessage="1" sqref="J20:K21 J25:K28">
      <formula1>#REF!</formula1>
    </dataValidation>
  </dataValidations>
  <pageMargins left="0.7" right="0.7" top="0.75" bottom="0.75" header="0.3" footer="0.3"/>
  <pageSetup scale="37" orientation="landscape" r:id="rId1"/>
  <rowBreaks count="1" manualBreakCount="1">
    <brk id="56" max="16383" man="1"/>
  </rowBreaks>
  <colBreaks count="1" manualBreakCount="1">
    <brk id="8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/>
    <pageSetUpPr fitToPage="1"/>
  </sheetPr>
  <dimension ref="A1:AA28"/>
  <sheetViews>
    <sheetView view="pageBreakPreview" zoomScale="60" zoomScaleNormal="100" workbookViewId="0">
      <selection activeCell="B15" sqref="B15"/>
    </sheetView>
  </sheetViews>
  <sheetFormatPr defaultColWidth="9.140625" defaultRowHeight="15" x14ac:dyDescent="0.25"/>
  <cols>
    <col min="1" max="1" width="63.42578125" style="2" customWidth="1"/>
    <col min="2" max="2" width="11.7109375" style="2" customWidth="1"/>
    <col min="3" max="3" width="12.5703125" style="2" customWidth="1"/>
    <col min="4" max="4" width="13.5703125" style="2" customWidth="1"/>
    <col min="5" max="5" width="26.7109375" style="2" customWidth="1"/>
    <col min="6" max="6" width="23.140625" style="2" customWidth="1"/>
    <col min="7" max="7" width="16.28515625" style="2" customWidth="1"/>
    <col min="8" max="8" width="40.42578125" style="2" customWidth="1"/>
    <col min="9" max="10" width="9.140625" style="2"/>
    <col min="11" max="11" width="14.42578125" style="2" customWidth="1"/>
    <col min="12" max="12" width="11.85546875" style="2" customWidth="1"/>
    <col min="13" max="16384" width="9.140625" style="2"/>
  </cols>
  <sheetData>
    <row r="1" spans="1:27" ht="15" customHeight="1" x14ac:dyDescent="0.25">
      <c r="A1" s="114" t="s">
        <v>106</v>
      </c>
      <c r="B1" s="756">
        <f>'Facility Site Specific Info.'!C4</f>
        <v>0</v>
      </c>
      <c r="C1" s="756"/>
      <c r="D1" s="756"/>
      <c r="E1" s="93"/>
      <c r="F1" s="10"/>
      <c r="G1" s="10"/>
      <c r="H1" s="10"/>
      <c r="I1" s="10"/>
      <c r="J1" s="10"/>
    </row>
    <row r="2" spans="1:27" ht="15" customHeight="1" x14ac:dyDescent="0.25">
      <c r="A2" s="114" t="s">
        <v>194</v>
      </c>
      <c r="B2" s="757">
        <f>'Facility Site Specific Info.'!C5</f>
        <v>0</v>
      </c>
      <c r="C2" s="757"/>
      <c r="D2" s="757"/>
      <c r="E2" s="93"/>
      <c r="F2" s="10"/>
      <c r="G2" s="10"/>
      <c r="H2" s="10"/>
      <c r="I2" s="10"/>
      <c r="J2" s="10"/>
    </row>
    <row r="3" spans="1:27" ht="15" customHeight="1" x14ac:dyDescent="0.25">
      <c r="A3" s="114" t="s">
        <v>181</v>
      </c>
      <c r="B3" s="758">
        <f>'Facility Site Specific Info.'!C6</f>
        <v>0</v>
      </c>
      <c r="C3" s="758"/>
      <c r="D3" s="758"/>
      <c r="E3" s="93"/>
      <c r="F3" s="10"/>
      <c r="G3" s="10"/>
      <c r="H3" s="10"/>
      <c r="I3" s="10"/>
      <c r="J3" s="10"/>
    </row>
    <row r="4" spans="1:27" ht="15" customHeight="1" x14ac:dyDescent="0.25">
      <c r="A4" s="114" t="s">
        <v>108</v>
      </c>
      <c r="B4" s="758">
        <f>'Facility Site Specific Info.'!C7</f>
        <v>0</v>
      </c>
      <c r="C4" s="758"/>
      <c r="D4" s="758"/>
      <c r="E4" s="93"/>
      <c r="F4" s="10"/>
      <c r="G4" s="10"/>
      <c r="H4" s="10"/>
      <c r="I4" s="10"/>
      <c r="J4" s="10"/>
    </row>
    <row r="5" spans="1:27" ht="15" customHeight="1" x14ac:dyDescent="0.25">
      <c r="A5" s="114" t="s">
        <v>182</v>
      </c>
      <c r="B5" s="757">
        <f>'Facility Site Specific Info.'!C8</f>
        <v>0</v>
      </c>
      <c r="C5" s="757"/>
      <c r="D5" s="757"/>
      <c r="E5" s="93"/>
      <c r="F5" s="10"/>
      <c r="G5" s="10"/>
      <c r="H5" s="10"/>
      <c r="I5" s="10"/>
      <c r="J5" s="10"/>
    </row>
    <row r="6" spans="1:27" ht="15" customHeight="1" x14ac:dyDescent="0.25">
      <c r="A6" s="114" t="s">
        <v>107</v>
      </c>
      <c r="B6" s="752">
        <f>'Facility Site Specific Info.'!C9</f>
        <v>0</v>
      </c>
      <c r="C6" s="752"/>
      <c r="D6" s="752"/>
      <c r="E6" s="93"/>
      <c r="F6" s="10"/>
      <c r="G6" s="10"/>
      <c r="H6" s="10"/>
      <c r="I6" s="10"/>
      <c r="J6" s="10"/>
    </row>
    <row r="7" spans="1:27" ht="15" customHeight="1" x14ac:dyDescent="0.25">
      <c r="A7" s="114"/>
      <c r="B7" s="98"/>
      <c r="C7" s="98"/>
      <c r="D7" s="98"/>
      <c r="E7" s="93"/>
      <c r="F7" s="10"/>
      <c r="G7" s="10"/>
      <c r="H7" s="10"/>
      <c r="I7" s="10"/>
      <c r="J7" s="10"/>
    </row>
    <row r="8" spans="1:27" ht="15" customHeight="1" x14ac:dyDescent="0.25">
      <c r="A8" s="17" t="s">
        <v>342</v>
      </c>
      <c r="B8" s="19">
        <f>'Facility Site Specific Info.'!C42</f>
        <v>0</v>
      </c>
      <c r="C8" s="92" t="s">
        <v>322</v>
      </c>
      <c r="D8" s="194"/>
      <c r="E8" s="93"/>
      <c r="F8" s="18"/>
      <c r="G8" s="18"/>
      <c r="H8" s="18"/>
      <c r="I8" s="18"/>
      <c r="J8" s="18"/>
      <c r="K8" s="31"/>
      <c r="L8" s="31"/>
      <c r="M8" s="31"/>
      <c r="N8" s="3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15.75" thickBot="1" x14ac:dyDescent="0.3"/>
    <row r="10" spans="1:27" ht="27" customHeight="1" thickTop="1" thickBot="1" x14ac:dyDescent="0.4">
      <c r="A10" s="774" t="s">
        <v>382</v>
      </c>
      <c r="B10" s="775"/>
      <c r="C10" s="775"/>
      <c r="D10" s="775"/>
      <c r="E10" s="775"/>
      <c r="F10" s="775"/>
      <c r="G10" s="775"/>
      <c r="H10" s="776"/>
    </row>
    <row r="11" spans="1:27" ht="16.5" thickTop="1" thickBot="1" x14ac:dyDescent="0.3">
      <c r="A11" s="597" t="s">
        <v>22</v>
      </c>
      <c r="B11" s="320" t="s">
        <v>0</v>
      </c>
      <c r="C11" s="320" t="s">
        <v>1</v>
      </c>
      <c r="D11" s="321" t="s">
        <v>2</v>
      </c>
      <c r="E11" s="322" t="s">
        <v>87</v>
      </c>
      <c r="F11" s="323" t="s">
        <v>3</v>
      </c>
      <c r="G11" s="362" t="s">
        <v>4</v>
      </c>
      <c r="H11" s="324" t="s">
        <v>26</v>
      </c>
    </row>
    <row r="12" spans="1:27" ht="21" x14ac:dyDescent="0.35">
      <c r="A12" s="598" t="s">
        <v>10</v>
      </c>
      <c r="B12" s="317"/>
      <c r="C12" s="318"/>
      <c r="D12" s="317"/>
      <c r="E12" s="317"/>
      <c r="F12" s="363"/>
      <c r="G12" s="363"/>
      <c r="H12" s="319"/>
    </row>
    <row r="13" spans="1:27" x14ac:dyDescent="0.25">
      <c r="A13" s="576" t="s">
        <v>29</v>
      </c>
      <c r="B13" s="328">
        <f>B8*3</f>
        <v>0</v>
      </c>
      <c r="C13" s="328" t="s">
        <v>7</v>
      </c>
      <c r="D13" s="313">
        <v>116</v>
      </c>
      <c r="E13" s="337">
        <f>'Facility Site Specific Info.'!$D$13</f>
        <v>0</v>
      </c>
      <c r="F13" s="313">
        <f>E13*D13*B13</f>
        <v>0</v>
      </c>
      <c r="G13" s="325"/>
      <c r="H13" s="204" t="s">
        <v>432</v>
      </c>
    </row>
    <row r="14" spans="1:27" x14ac:dyDescent="0.25">
      <c r="A14" s="599" t="s">
        <v>365</v>
      </c>
      <c r="B14" s="335">
        <f>IF('Facility Site Specific Info.'!C37="Yes",B8*43560*2/27*0.02,0)</f>
        <v>0</v>
      </c>
      <c r="C14" s="329" t="s">
        <v>171</v>
      </c>
      <c r="D14" s="315">
        <f>7.55+'Surface Imp. Closure'!D39</f>
        <v>10.45</v>
      </c>
      <c r="E14" s="338">
        <f>'Facility Site Specific Info.'!$D$13</f>
        <v>0</v>
      </c>
      <c r="F14" s="315">
        <f t="shared" ref="F14:F17" si="0">E14*D14*B14</f>
        <v>0</v>
      </c>
      <c r="G14" s="325"/>
      <c r="H14" s="204" t="s">
        <v>432</v>
      </c>
    </row>
    <row r="15" spans="1:27" x14ac:dyDescent="0.25">
      <c r="A15" s="599" t="s">
        <v>366</v>
      </c>
      <c r="B15" s="335">
        <f>IF('Facility Site Specific Info.'!C37="No",B8*43560*2/27*0.02,0)</f>
        <v>0</v>
      </c>
      <c r="C15" s="329" t="s">
        <v>171</v>
      </c>
      <c r="D15" s="315">
        <f>7.55+'Surface Imp. Closure'!D42</f>
        <v>9.5500000000000007</v>
      </c>
      <c r="E15" s="338">
        <f>'Facility Site Specific Info.'!$D$13</f>
        <v>0</v>
      </c>
      <c r="F15" s="315">
        <f t="shared" si="0"/>
        <v>0</v>
      </c>
      <c r="G15" s="325" t="s">
        <v>5</v>
      </c>
      <c r="H15" s="204" t="s">
        <v>432</v>
      </c>
    </row>
    <row r="16" spans="1:27" x14ac:dyDescent="0.25">
      <c r="A16" s="577" t="s">
        <v>33</v>
      </c>
      <c r="B16" s="329">
        <f>B8*0.02</f>
        <v>0</v>
      </c>
      <c r="C16" s="329" t="s">
        <v>7</v>
      </c>
      <c r="D16" s="615">
        <f>40*43.56</f>
        <v>1742.4</v>
      </c>
      <c r="E16" s="338">
        <f>'Facility Site Specific Info.'!$D$13</f>
        <v>0</v>
      </c>
      <c r="F16" s="315">
        <f t="shared" si="0"/>
        <v>0</v>
      </c>
      <c r="G16" s="325" t="s">
        <v>5</v>
      </c>
      <c r="H16" s="204" t="s">
        <v>403</v>
      </c>
    </row>
    <row r="17" spans="1:27" x14ac:dyDescent="0.25">
      <c r="A17" s="577" t="s">
        <v>34</v>
      </c>
      <c r="B17" s="330">
        <f>B8*0.02</f>
        <v>0</v>
      </c>
      <c r="C17" s="330" t="s">
        <v>7</v>
      </c>
      <c r="D17" s="613">
        <v>330</v>
      </c>
      <c r="E17" s="339">
        <f>'Facility Site Specific Info.'!$D$13</f>
        <v>0</v>
      </c>
      <c r="F17" s="316">
        <f t="shared" si="0"/>
        <v>0</v>
      </c>
      <c r="G17" s="325"/>
      <c r="H17" s="204" t="s">
        <v>404</v>
      </c>
    </row>
    <row r="18" spans="1:27" ht="15.75" thickBot="1" x14ac:dyDescent="0.3">
      <c r="A18" s="584" t="s">
        <v>11</v>
      </c>
      <c r="B18" s="331"/>
      <c r="C18" s="331"/>
      <c r="D18" s="332"/>
      <c r="E18" s="332"/>
      <c r="F18" s="333"/>
      <c r="G18" s="364">
        <f>SUM(F13:F17)</f>
        <v>0</v>
      </c>
      <c r="H18" s="334"/>
    </row>
    <row r="19" spans="1:27" ht="21.75" thickBot="1" x14ac:dyDescent="0.3">
      <c r="A19" s="759" t="s">
        <v>25</v>
      </c>
      <c r="B19" s="760"/>
      <c r="C19" s="760"/>
      <c r="D19" s="760"/>
      <c r="E19" s="760"/>
      <c r="F19" s="761"/>
      <c r="G19" s="365">
        <f>G18</f>
        <v>0</v>
      </c>
      <c r="H19" s="327"/>
    </row>
    <row r="20" spans="1:27" ht="20.100000000000001" customHeight="1" thickBot="1" x14ac:dyDescent="0.4">
      <c r="A20" s="561" t="s">
        <v>65</v>
      </c>
      <c r="B20" s="252"/>
      <c r="C20" s="252"/>
      <c r="D20" s="234"/>
      <c r="E20" s="235"/>
      <c r="F20" s="233"/>
      <c r="G20" s="234"/>
      <c r="H20" s="209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x14ac:dyDescent="0.25">
      <c r="A21" s="600" t="s">
        <v>30</v>
      </c>
      <c r="B21" s="255">
        <f>IF('Facility Site Specific Info.'!C16="Yes",1,0)</f>
        <v>0</v>
      </c>
      <c r="C21" s="255" t="s">
        <v>167</v>
      </c>
      <c r="D21" s="622">
        <v>0.05</v>
      </c>
      <c r="E21" s="244"/>
      <c r="F21" s="368">
        <f>G19*0.05*B21</f>
        <v>0</v>
      </c>
      <c r="G21" s="325" t="s">
        <v>5</v>
      </c>
      <c r="H21" s="650"/>
    </row>
    <row r="22" spans="1:27" x14ac:dyDescent="0.25">
      <c r="A22" s="586" t="s">
        <v>31</v>
      </c>
      <c r="B22" s="255">
        <f>IF('Facility Site Specific Info.'!C16="Yes",1,0)</f>
        <v>0</v>
      </c>
      <c r="C22" s="256" t="s">
        <v>167</v>
      </c>
      <c r="D22" s="623">
        <v>0.1</v>
      </c>
      <c r="E22" s="245"/>
      <c r="F22" s="369">
        <f>G19*0.1*B22</f>
        <v>0</v>
      </c>
      <c r="G22" s="325" t="s">
        <v>5</v>
      </c>
      <c r="H22" s="650"/>
    </row>
    <row r="23" spans="1:27" ht="15.75" thickBot="1" x14ac:dyDescent="0.3">
      <c r="A23" s="587" t="s">
        <v>28</v>
      </c>
      <c r="B23" s="331"/>
      <c r="C23" s="331"/>
      <c r="D23" s="332"/>
      <c r="E23" s="332"/>
      <c r="F23" s="331"/>
      <c r="G23" s="364">
        <f>SUM(F21:F22)</f>
        <v>0</v>
      </c>
      <c r="H23" s="334"/>
    </row>
    <row r="24" spans="1:27" ht="21" x14ac:dyDescent="0.25">
      <c r="A24" s="765" t="s">
        <v>380</v>
      </c>
      <c r="B24" s="766"/>
      <c r="C24" s="766"/>
      <c r="D24" s="766"/>
      <c r="E24" s="766"/>
      <c r="F24" s="767"/>
      <c r="G24" s="366">
        <f>G23+G19</f>
        <v>0</v>
      </c>
      <c r="H24" s="327"/>
    </row>
    <row r="25" spans="1:27" ht="15.75" customHeight="1" thickBot="1" x14ac:dyDescent="0.3">
      <c r="A25" s="762" t="str">
        <f>"TOTAL POST-CLOSURE COST FOR "&amp;'Facility Site Specific Info.'!C35&amp;" YEARS"</f>
        <v>TOTAL POST-CLOSURE COST FOR  YEARS</v>
      </c>
      <c r="B25" s="763"/>
      <c r="C25" s="763"/>
      <c r="D25" s="763"/>
      <c r="E25" s="763"/>
      <c r="F25" s="764"/>
      <c r="G25" s="367">
        <f>IF('Facility Site Specific Info.'!C33="Yes",(G24*'Facility Site Specific Info.'!C35),0)</f>
        <v>0</v>
      </c>
      <c r="H25" s="326"/>
    </row>
    <row r="26" spans="1:27" ht="15.75" thickTop="1" x14ac:dyDescent="0.25">
      <c r="D26" s="5"/>
      <c r="E26" s="5"/>
      <c r="G26" s="1"/>
    </row>
    <row r="27" spans="1:27" x14ac:dyDescent="0.25">
      <c r="D27" s="5"/>
      <c r="E27" s="5"/>
      <c r="G27" s="1"/>
    </row>
    <row r="28" spans="1:27" x14ac:dyDescent="0.25">
      <c r="D28" s="5"/>
      <c r="E28" s="5"/>
      <c r="G28" s="1"/>
    </row>
  </sheetData>
  <mergeCells count="10">
    <mergeCell ref="B6:D6"/>
    <mergeCell ref="A10:H10"/>
    <mergeCell ref="A25:F25"/>
    <mergeCell ref="B1:D1"/>
    <mergeCell ref="B2:D2"/>
    <mergeCell ref="B3:D3"/>
    <mergeCell ref="B4:D4"/>
    <mergeCell ref="B5:D5"/>
    <mergeCell ref="A19:F19"/>
    <mergeCell ref="A24:F24"/>
  </mergeCells>
  <pageMargins left="0.7" right="0.7" top="0.75" bottom="0.75" header="0.3" footer="0.3"/>
  <pageSetup paperSize="5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7"/>
    <pageSetUpPr fitToPage="1"/>
  </sheetPr>
  <dimension ref="A1:AA48"/>
  <sheetViews>
    <sheetView view="pageBreakPreview" zoomScale="60" zoomScaleNormal="70" workbookViewId="0">
      <selection activeCell="B32" sqref="B32"/>
    </sheetView>
  </sheetViews>
  <sheetFormatPr defaultColWidth="9.140625" defaultRowHeight="15" x14ac:dyDescent="0.25"/>
  <cols>
    <col min="1" max="1" width="60.28515625" style="2" customWidth="1"/>
    <col min="2" max="2" width="21.140625" style="2" customWidth="1"/>
    <col min="3" max="3" width="22" style="2" customWidth="1"/>
    <col min="4" max="5" width="28.85546875" style="2" customWidth="1"/>
    <col min="6" max="6" width="25.42578125" style="2" customWidth="1"/>
    <col min="7" max="7" width="21.7109375" style="2" bestFit="1" customWidth="1"/>
    <col min="8" max="8" width="35.28515625" style="2" bestFit="1" customWidth="1"/>
    <col min="9" max="9" width="9.140625" style="2"/>
    <col min="10" max="12" width="9.140625" style="303"/>
    <col min="13" max="13" width="16.28515625" style="303" customWidth="1"/>
    <col min="14" max="15" width="9.140625" style="303"/>
    <col min="16" max="16384" width="9.140625" style="2"/>
  </cols>
  <sheetData>
    <row r="1" spans="1:27" ht="15" customHeight="1" x14ac:dyDescent="0.25">
      <c r="A1" s="114" t="s">
        <v>106</v>
      </c>
      <c r="B1" s="756">
        <f>'Facility Site Specific Info.'!C4</f>
        <v>0</v>
      </c>
      <c r="C1" s="756"/>
      <c r="D1" s="756"/>
      <c r="E1" s="93"/>
      <c r="F1" s="10"/>
      <c r="G1" s="10"/>
      <c r="H1" s="10"/>
      <c r="I1" s="10"/>
      <c r="J1" s="684"/>
    </row>
    <row r="2" spans="1:27" ht="15" customHeight="1" x14ac:dyDescent="0.25">
      <c r="A2" s="114" t="s">
        <v>194</v>
      </c>
      <c r="B2" s="757">
        <f>'Facility Site Specific Info.'!C5</f>
        <v>0</v>
      </c>
      <c r="C2" s="757"/>
      <c r="D2" s="757"/>
      <c r="E2" s="93"/>
      <c r="F2" s="10"/>
      <c r="G2" s="10"/>
      <c r="H2" s="10"/>
      <c r="I2" s="10"/>
      <c r="J2" s="684"/>
    </row>
    <row r="3" spans="1:27" ht="15" customHeight="1" x14ac:dyDescent="0.25">
      <c r="A3" s="114" t="s">
        <v>181</v>
      </c>
      <c r="B3" s="758">
        <f>'Facility Site Specific Info.'!C6</f>
        <v>0</v>
      </c>
      <c r="C3" s="758"/>
      <c r="D3" s="758"/>
      <c r="E3" s="93"/>
      <c r="F3" s="10"/>
      <c r="G3" s="10"/>
      <c r="H3" s="10"/>
      <c r="I3" s="10"/>
      <c r="J3" s="684"/>
    </row>
    <row r="4" spans="1:27" ht="15" customHeight="1" x14ac:dyDescent="0.25">
      <c r="A4" s="114" t="s">
        <v>108</v>
      </c>
      <c r="B4" s="758">
        <f>'Facility Site Specific Info.'!C7</f>
        <v>0</v>
      </c>
      <c r="C4" s="758"/>
      <c r="D4" s="758"/>
      <c r="E4" s="93"/>
      <c r="F4" s="10"/>
      <c r="G4" s="10"/>
      <c r="H4" s="10"/>
      <c r="I4" s="10"/>
      <c r="J4" s="684"/>
    </row>
    <row r="5" spans="1:27" ht="15" customHeight="1" x14ac:dyDescent="0.25">
      <c r="A5" s="114" t="s">
        <v>182</v>
      </c>
      <c r="B5" s="757">
        <f>'Facility Site Specific Info.'!C8</f>
        <v>0</v>
      </c>
      <c r="C5" s="757"/>
      <c r="D5" s="757"/>
      <c r="E5" s="93"/>
      <c r="F5" s="10"/>
      <c r="G5" s="10"/>
      <c r="H5" s="10"/>
      <c r="I5" s="10"/>
      <c r="J5" s="684"/>
    </row>
    <row r="6" spans="1:27" ht="15" customHeight="1" x14ac:dyDescent="0.25">
      <c r="A6" s="114" t="s">
        <v>107</v>
      </c>
      <c r="B6" s="752">
        <f>'Facility Site Specific Info.'!C9</f>
        <v>0</v>
      </c>
      <c r="C6" s="752"/>
      <c r="D6" s="752"/>
      <c r="E6" s="93"/>
      <c r="F6" s="10"/>
      <c r="G6" s="10"/>
      <c r="H6" s="10"/>
      <c r="I6" s="10"/>
      <c r="J6" s="684"/>
    </row>
    <row r="7" spans="1:27" ht="15" customHeight="1" x14ac:dyDescent="0.25">
      <c r="A7" s="114"/>
      <c r="B7" s="98"/>
      <c r="C7" s="98"/>
      <c r="D7" s="98"/>
      <c r="E7" s="93"/>
      <c r="F7" s="10"/>
      <c r="G7" s="10"/>
      <c r="H7" s="10"/>
      <c r="I7" s="10"/>
      <c r="J7" s="684"/>
    </row>
    <row r="8" spans="1:27" ht="15" customHeight="1" x14ac:dyDescent="0.25">
      <c r="A8" s="258" t="s">
        <v>41</v>
      </c>
      <c r="B8" s="8">
        <f>'Facility Site Specific Info.'!C54</f>
        <v>0</v>
      </c>
      <c r="C8" s="92" t="s">
        <v>322</v>
      </c>
      <c r="D8" s="194"/>
      <c r="E8" s="93"/>
      <c r="F8" s="18"/>
      <c r="G8" s="18"/>
      <c r="H8" s="18"/>
      <c r="I8" s="18"/>
      <c r="J8" s="95"/>
      <c r="K8" s="31"/>
      <c r="L8" s="31"/>
      <c r="M8" s="31"/>
      <c r="N8" s="31"/>
      <c r="O8" s="3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15" customHeight="1" x14ac:dyDescent="0.25">
      <c r="A9" s="260" t="s">
        <v>308</v>
      </c>
      <c r="B9" s="263">
        <f>'Facility Site Specific Info.'!C57</f>
        <v>0</v>
      </c>
      <c r="C9" s="261" t="s">
        <v>121</v>
      </c>
      <c r="D9" s="76"/>
      <c r="E9" s="18"/>
      <c r="F9" s="18"/>
      <c r="G9" s="18"/>
      <c r="H9" s="18"/>
      <c r="I9" s="18"/>
      <c r="J9" s="95"/>
      <c r="K9" s="31"/>
      <c r="L9" s="31" t="s">
        <v>35</v>
      </c>
      <c r="M9" s="31" t="s">
        <v>36</v>
      </c>
      <c r="N9" s="31"/>
      <c r="O9" s="3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15.75" thickBot="1" x14ac:dyDescent="0.3"/>
    <row r="11" spans="1:27" ht="33" thickTop="1" thickBot="1" x14ac:dyDescent="0.55000000000000004">
      <c r="A11" s="777" t="s">
        <v>385</v>
      </c>
      <c r="B11" s="778"/>
      <c r="C11" s="778"/>
      <c r="D11" s="778"/>
      <c r="E11" s="778"/>
      <c r="F11" s="778"/>
      <c r="G11" s="778"/>
      <c r="H11" s="779"/>
    </row>
    <row r="12" spans="1:27" ht="17.25" thickTop="1" thickBot="1" x14ac:dyDescent="0.3">
      <c r="A12" s="551" t="s">
        <v>22</v>
      </c>
      <c r="B12" s="196" t="s">
        <v>0</v>
      </c>
      <c r="C12" s="196" t="s">
        <v>1</v>
      </c>
      <c r="D12" s="197" t="s">
        <v>2</v>
      </c>
      <c r="E12" s="198" t="s">
        <v>43</v>
      </c>
      <c r="F12" s="199" t="s">
        <v>3</v>
      </c>
      <c r="G12" s="196" t="s">
        <v>4</v>
      </c>
      <c r="H12" s="200" t="s">
        <v>26</v>
      </c>
    </row>
    <row r="13" spans="1:27" ht="20.100000000000001" customHeight="1" x14ac:dyDescent="0.25">
      <c r="A13" s="552" t="s">
        <v>44</v>
      </c>
      <c r="B13" s="227"/>
      <c r="C13" s="238"/>
      <c r="D13" s="375"/>
      <c r="E13" s="227"/>
      <c r="F13" s="375"/>
      <c r="G13" s="375"/>
      <c r="H13" s="202"/>
      <c r="I13" s="21"/>
      <c r="J13" s="31"/>
      <c r="K13" s="31"/>
      <c r="L13" s="31" t="s">
        <v>38</v>
      </c>
      <c r="M13" s="31">
        <v>0.84499999999999997</v>
      </c>
      <c r="N13" s="31"/>
      <c r="O13" s="3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21" x14ac:dyDescent="0.25">
      <c r="A14" s="553" t="s">
        <v>364</v>
      </c>
      <c r="B14" s="430">
        <f>IF('Facility Site Specific Info.'!C50="Yes",1,0)</f>
        <v>0</v>
      </c>
      <c r="C14" s="296" t="s">
        <v>354</v>
      </c>
      <c r="D14" s="611">
        <f>IF(B8&lt;=100,(B8/50)*15000,30000)</f>
        <v>0</v>
      </c>
      <c r="E14" s="291">
        <f>'Facility Site Specific Info.'!$D$13</f>
        <v>0</v>
      </c>
      <c r="F14" s="411">
        <f>B14*D14</f>
        <v>0</v>
      </c>
      <c r="G14" s="400"/>
      <c r="H14" s="204" t="s">
        <v>432</v>
      </c>
      <c r="I14" s="21"/>
      <c r="J14" s="31"/>
      <c r="K14" s="31"/>
      <c r="L14" s="31" t="s">
        <v>39</v>
      </c>
      <c r="M14" s="31">
        <v>0.83699999999999997</v>
      </c>
      <c r="N14" s="31"/>
      <c r="O14" s="3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x14ac:dyDescent="0.25">
      <c r="A15" s="554" t="s">
        <v>45</v>
      </c>
      <c r="B15" s="431">
        <f>B8</f>
        <v>0</v>
      </c>
      <c r="C15" s="294" t="s">
        <v>46</v>
      </c>
      <c r="D15" s="369">
        <v>3150</v>
      </c>
      <c r="E15" s="295">
        <f>'Facility Site Specific Info.'!$D$13</f>
        <v>0</v>
      </c>
      <c r="F15" s="412">
        <f>B15*D15*E15</f>
        <v>0</v>
      </c>
      <c r="G15" s="401"/>
      <c r="H15" s="204" t="s">
        <v>400</v>
      </c>
      <c r="I15" s="21"/>
      <c r="J15" s="31"/>
      <c r="K15" s="31"/>
      <c r="L15" s="31" t="s">
        <v>40</v>
      </c>
      <c r="M15" s="31">
        <v>0.83299999999999996</v>
      </c>
      <c r="N15" s="31"/>
      <c r="O15" s="3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x14ac:dyDescent="0.25">
      <c r="A16" s="555" t="s">
        <v>336</v>
      </c>
      <c r="B16" s="432"/>
      <c r="C16" s="213"/>
      <c r="D16" s="214"/>
      <c r="E16" s="215"/>
      <c r="F16" s="413"/>
      <c r="G16" s="401" t="s">
        <v>5</v>
      </c>
      <c r="H16" s="204"/>
      <c r="I16" s="21"/>
      <c r="J16" s="31"/>
      <c r="K16" s="31"/>
      <c r="L16" s="31"/>
      <c r="M16" s="31"/>
      <c r="N16" s="31"/>
      <c r="O16" s="3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x14ac:dyDescent="0.25">
      <c r="A17" s="556" t="s">
        <v>361</v>
      </c>
      <c r="B17" s="604">
        <f>(B8*43560*2)/27*IF('Facility Site Specific Info.'!C58="Yes",1,0)</f>
        <v>0</v>
      </c>
      <c r="C17" s="290" t="s">
        <v>171</v>
      </c>
      <c r="D17" s="612">
        <v>2.97</v>
      </c>
      <c r="E17" s="291">
        <f>'Facility Site Specific Info.'!$D$13</f>
        <v>0</v>
      </c>
      <c r="F17" s="414">
        <f>B17*D17*E17</f>
        <v>0</v>
      </c>
      <c r="G17" s="401"/>
      <c r="H17" s="204" t="s">
        <v>432</v>
      </c>
      <c r="I17" s="21"/>
      <c r="J17" s="31"/>
      <c r="K17" s="31"/>
      <c r="L17" s="31"/>
      <c r="M17" s="31"/>
      <c r="N17" s="31"/>
      <c r="O17" s="3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x14ac:dyDescent="0.25">
      <c r="A18" s="556" t="s">
        <v>456</v>
      </c>
      <c r="B18" s="473">
        <f>B17</f>
        <v>0</v>
      </c>
      <c r="C18" s="294" t="s">
        <v>171</v>
      </c>
      <c r="D18" s="613">
        <v>2.9</v>
      </c>
      <c r="E18" s="295">
        <f>'Facility Site Specific Info.'!$D$13</f>
        <v>0</v>
      </c>
      <c r="F18" s="412">
        <f>B18*D18*E18</f>
        <v>0</v>
      </c>
      <c r="G18" s="401"/>
      <c r="H18" s="204" t="s">
        <v>434</v>
      </c>
      <c r="I18" s="21"/>
      <c r="J18" s="31"/>
      <c r="K18" s="31"/>
      <c r="L18" s="31"/>
      <c r="M18" s="31"/>
      <c r="N18" s="31"/>
      <c r="O18" s="3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x14ac:dyDescent="0.25">
      <c r="A19" s="557" t="s">
        <v>337</v>
      </c>
      <c r="B19" s="435"/>
      <c r="C19" s="216"/>
      <c r="D19" s="217"/>
      <c r="E19" s="218"/>
      <c r="F19" s="383"/>
      <c r="G19" s="401" t="s">
        <v>5</v>
      </c>
      <c r="H19" s="204"/>
      <c r="I19" s="21"/>
      <c r="J19" s="31"/>
      <c r="K19" s="31"/>
      <c r="L19" s="31"/>
      <c r="M19" s="31"/>
      <c r="N19" s="31"/>
      <c r="O19" s="3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x14ac:dyDescent="0.25">
      <c r="A20" s="556" t="s">
        <v>393</v>
      </c>
      <c r="B20" s="472">
        <f>B21</f>
        <v>0</v>
      </c>
      <c r="C20" s="292" t="s">
        <v>171</v>
      </c>
      <c r="D20" s="614">
        <v>2.97</v>
      </c>
      <c r="E20" s="293">
        <f>'Facility Site Specific Info.'!$D$13</f>
        <v>0</v>
      </c>
      <c r="F20" s="415">
        <f t="shared" ref="F20:F21" si="0">B20*D20*E20</f>
        <v>0</v>
      </c>
      <c r="G20" s="401"/>
      <c r="H20" s="204" t="s">
        <v>432</v>
      </c>
      <c r="I20" s="21"/>
      <c r="J20" s="31"/>
      <c r="K20" s="31"/>
      <c r="L20" s="31"/>
      <c r="M20" s="31"/>
      <c r="N20" s="31"/>
      <c r="O20" s="3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x14ac:dyDescent="0.25">
      <c r="A21" s="556" t="s">
        <v>92</v>
      </c>
      <c r="B21" s="604">
        <f>(B8*43560*2)/27*IF('Facility Site Specific Info.'!C58="No",1,0)*1.2</f>
        <v>0</v>
      </c>
      <c r="C21" s="290" t="s">
        <v>171</v>
      </c>
      <c r="D21" s="612">
        <f>IF('Facility Site Specific Info.'!C59&lt;5,0.7*'Facility Site Specific Info.'!C59+2,IF('Facility Site Specific Info.'!C59&lt;20,0.63*'Facility Site Specific Info.'!C59+1.55,12.5))</f>
        <v>2</v>
      </c>
      <c r="E21" s="291">
        <f>'Facility Site Specific Info.'!$D$13</f>
        <v>0</v>
      </c>
      <c r="F21" s="414">
        <f t="shared" si="0"/>
        <v>0</v>
      </c>
      <c r="G21" s="401"/>
      <c r="H21" s="204" t="s">
        <v>435</v>
      </c>
      <c r="I21" s="21"/>
      <c r="J21" s="31"/>
      <c r="K21" s="31"/>
      <c r="L21" s="31"/>
      <c r="M21" s="31"/>
      <c r="N21" s="31"/>
      <c r="O21" s="3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x14ac:dyDescent="0.25">
      <c r="A22" s="558" t="s">
        <v>47</v>
      </c>
      <c r="B22" s="436">
        <f>(B8*43560*2)/27</f>
        <v>0</v>
      </c>
      <c r="C22" s="292" t="s">
        <v>48</v>
      </c>
      <c r="D22" s="368">
        <v>1.5</v>
      </c>
      <c r="E22" s="293">
        <f>'Facility Site Specific Info.'!$D$13</f>
        <v>0</v>
      </c>
      <c r="F22" s="415">
        <f>B22*D22*E22</f>
        <v>0</v>
      </c>
      <c r="G22" s="401"/>
      <c r="H22" s="204" t="s">
        <v>401</v>
      </c>
      <c r="I22" s="21"/>
      <c r="J22" s="31"/>
      <c r="K22" s="31"/>
      <c r="L22" s="31"/>
      <c r="M22" s="31"/>
      <c r="N22" s="31"/>
      <c r="O22" s="3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x14ac:dyDescent="0.25">
      <c r="A23" s="559" t="str">
        <f>IF('Facility Site Specific Info.'!C56="No; List Item on Right",'Facility Site Specific Info.'!G56,"No Alternative Low Permeability Layer from Facility")</f>
        <v>No Alternative Low Permeability Layer from Facility</v>
      </c>
      <c r="B23" s="434" t="str">
        <f>IF('Facility Site Specific Info.'!C56="Yes",0,'Facility Site Specific Info.'!H56)</f>
        <v>###</v>
      </c>
      <c r="C23" s="294" t="str">
        <f>'Facility Site Specific Info.'!I56</f>
        <v>UNITS</v>
      </c>
      <c r="D23" s="289" t="str">
        <f>IF(B23=0,0,'Facility Site Specific Info.'!J56)</f>
        <v>###</v>
      </c>
      <c r="E23" s="295"/>
      <c r="F23" s="412" t="e">
        <f>B23*D23*E23*IF(B23="###",0,1)</f>
        <v>#VALUE!</v>
      </c>
      <c r="G23" s="401"/>
      <c r="H23" s="204"/>
      <c r="I23" s="21"/>
      <c r="J23" s="31"/>
      <c r="K23" s="31"/>
      <c r="L23" s="31"/>
      <c r="M23" s="31"/>
      <c r="N23" s="31"/>
      <c r="O23" s="3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15.75" thickBot="1" x14ac:dyDescent="0.3">
      <c r="A24" s="560" t="s">
        <v>49</v>
      </c>
      <c r="B24" s="437"/>
      <c r="C24" s="239"/>
      <c r="D24" s="219"/>
      <c r="E24" s="220"/>
      <c r="F24" s="384"/>
      <c r="G24" s="374" t="e">
        <f>SUM(F14:F23)*(IF('Facility Site Specific Info.'!C50="Yes",1,0))</f>
        <v>#VALUE!</v>
      </c>
      <c r="H24" s="205"/>
      <c r="I24" s="21"/>
      <c r="J24" s="31"/>
      <c r="K24" s="31"/>
      <c r="L24" s="31"/>
      <c r="M24" s="31"/>
      <c r="N24" s="31"/>
      <c r="O24" s="3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20.100000000000001" customHeight="1" x14ac:dyDescent="0.3">
      <c r="A25" s="564" t="s">
        <v>54</v>
      </c>
      <c r="B25" s="438"/>
      <c r="C25" s="230"/>
      <c r="D25" s="418"/>
      <c r="E25" s="229"/>
      <c r="F25" s="418"/>
      <c r="G25" s="403"/>
      <c r="H25" s="207"/>
      <c r="I25" s="21"/>
      <c r="J25" s="31"/>
      <c r="K25" s="31"/>
      <c r="L25" s="31"/>
      <c r="M25" s="31"/>
      <c r="N25" s="31"/>
      <c r="O25" s="3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20.100000000000001" customHeight="1" x14ac:dyDescent="0.3">
      <c r="A26" s="555" t="s">
        <v>395</v>
      </c>
      <c r="B26" s="432"/>
      <c r="C26" s="213"/>
      <c r="D26" s="214"/>
      <c r="E26" s="215"/>
      <c r="F26" s="413"/>
      <c r="G26" s="401"/>
      <c r="H26" s="206"/>
      <c r="I26" s="21"/>
      <c r="J26" s="31"/>
      <c r="K26" s="31"/>
      <c r="L26" s="31"/>
      <c r="M26" s="31"/>
      <c r="N26" s="31"/>
      <c r="O26" s="3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x14ac:dyDescent="0.25">
      <c r="A27" s="562" t="s">
        <v>362</v>
      </c>
      <c r="B27" s="604">
        <f>(B8*43560*0.5/27)*IF('Facility Site Specific Info.'!C58="Yes",1,0)</f>
        <v>0</v>
      </c>
      <c r="C27" s="290" t="s">
        <v>171</v>
      </c>
      <c r="D27" s="612">
        <v>7.55</v>
      </c>
      <c r="E27" s="291">
        <f>'Facility Site Specific Info.'!$D$13</f>
        <v>0</v>
      </c>
      <c r="F27" s="419">
        <f>E27*D27*B27</f>
        <v>0</v>
      </c>
      <c r="G27" s="401"/>
      <c r="H27" s="204" t="s">
        <v>432</v>
      </c>
      <c r="I27" s="21"/>
      <c r="J27" s="31"/>
      <c r="K27" s="31"/>
      <c r="L27" s="31"/>
      <c r="M27" s="31"/>
      <c r="N27" s="31"/>
      <c r="O27" s="3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x14ac:dyDescent="0.25">
      <c r="A28" s="562" t="s">
        <v>394</v>
      </c>
      <c r="B28" s="604">
        <f>B27</f>
        <v>0</v>
      </c>
      <c r="C28" s="290" t="s">
        <v>171</v>
      </c>
      <c r="D28" s="612">
        <f>D18</f>
        <v>2.9</v>
      </c>
      <c r="E28" s="291">
        <f>'Facility Site Specific Info.'!$D$13</f>
        <v>0</v>
      </c>
      <c r="F28" s="419">
        <f>E28*D28*B28</f>
        <v>0</v>
      </c>
      <c r="G28" s="401"/>
      <c r="H28" s="204" t="s">
        <v>434</v>
      </c>
      <c r="I28" s="21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21"/>
      <c r="X28" s="21"/>
      <c r="Y28" s="21"/>
      <c r="Z28" s="21"/>
      <c r="AA28" s="21"/>
    </row>
    <row r="29" spans="1:27" ht="20.100000000000001" customHeight="1" x14ac:dyDescent="0.3">
      <c r="A29" s="555" t="s">
        <v>437</v>
      </c>
      <c r="B29" s="432"/>
      <c r="C29" s="213"/>
      <c r="D29" s="214"/>
      <c r="E29" s="215"/>
      <c r="F29" s="413"/>
      <c r="G29" s="401"/>
      <c r="H29" s="206"/>
      <c r="I29" s="21"/>
      <c r="J29" s="488"/>
      <c r="K29" s="488"/>
      <c r="L29" s="488"/>
      <c r="M29" s="488"/>
      <c r="N29" s="488"/>
      <c r="O29" s="488"/>
      <c r="P29" s="488"/>
      <c r="Q29" s="488"/>
      <c r="R29" s="488"/>
      <c r="S29" s="488"/>
      <c r="T29" s="488"/>
      <c r="U29" s="488"/>
      <c r="V29" s="488"/>
      <c r="W29" s="21"/>
      <c r="X29" s="21"/>
      <c r="Y29" s="21"/>
      <c r="Z29" s="21"/>
      <c r="AA29" s="21"/>
    </row>
    <row r="30" spans="1:27" x14ac:dyDescent="0.25">
      <c r="A30" s="558" t="s">
        <v>363</v>
      </c>
      <c r="B30" s="472">
        <f>B31</f>
        <v>0</v>
      </c>
      <c r="C30" s="292" t="s">
        <v>171</v>
      </c>
      <c r="D30" s="615">
        <v>7.55</v>
      </c>
      <c r="E30" s="293">
        <f>'Facility Site Specific Info.'!$D$13</f>
        <v>0</v>
      </c>
      <c r="F30" s="420">
        <f t="shared" ref="F30:F31" si="1">E30*D30*B30</f>
        <v>0</v>
      </c>
      <c r="G30" s="401"/>
      <c r="H30" s="204" t="s">
        <v>432</v>
      </c>
      <c r="I30" s="21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488"/>
      <c r="U30" s="488"/>
      <c r="V30" s="488"/>
      <c r="W30" s="21"/>
      <c r="X30" s="21"/>
      <c r="Y30" s="21"/>
      <c r="Z30" s="21"/>
      <c r="AA30" s="21"/>
    </row>
    <row r="31" spans="1:27" x14ac:dyDescent="0.25">
      <c r="A31" s="558" t="s">
        <v>394</v>
      </c>
      <c r="B31" s="472">
        <f>(B8*43560*0.5/27)*IF('Facility Site Specific Info.'!C58="No",1,0)*1.2</f>
        <v>0</v>
      </c>
      <c r="C31" s="292" t="s">
        <v>171</v>
      </c>
      <c r="D31" s="615">
        <f>D21</f>
        <v>2</v>
      </c>
      <c r="E31" s="293">
        <f>'Facility Site Specific Info.'!$D$13</f>
        <v>0</v>
      </c>
      <c r="F31" s="420">
        <f t="shared" si="1"/>
        <v>0</v>
      </c>
      <c r="G31" s="401"/>
      <c r="H31" s="204" t="s">
        <v>435</v>
      </c>
      <c r="I31" s="21"/>
      <c r="J31" s="488"/>
      <c r="K31" s="488"/>
      <c r="L31" s="488"/>
      <c r="M31" s="488"/>
      <c r="N31" s="488"/>
      <c r="O31" s="488"/>
      <c r="P31" s="488"/>
      <c r="Q31" s="488"/>
      <c r="R31" s="488"/>
      <c r="S31" s="488"/>
      <c r="T31" s="488"/>
      <c r="U31" s="488"/>
      <c r="V31" s="488"/>
      <c r="W31" s="21"/>
      <c r="X31" s="21"/>
      <c r="Y31" s="21"/>
      <c r="Z31" s="21"/>
      <c r="AA31" s="21"/>
    </row>
    <row r="32" spans="1:27" x14ac:dyDescent="0.25">
      <c r="A32" s="558" t="s">
        <v>55</v>
      </c>
      <c r="B32" s="436">
        <f>(B8*43560/9)</f>
        <v>0</v>
      </c>
      <c r="C32" s="292" t="s">
        <v>321</v>
      </c>
      <c r="D32" s="614">
        <v>0.73</v>
      </c>
      <c r="E32" s="293">
        <f>'Facility Site Specific Info.'!$D$13</f>
        <v>0</v>
      </c>
      <c r="F32" s="420">
        <f>E32*D32*B32</f>
        <v>0</v>
      </c>
      <c r="G32" s="401"/>
      <c r="H32" s="204" t="s">
        <v>432</v>
      </c>
      <c r="I32" s="21"/>
      <c r="J32" s="31"/>
      <c r="K32" s="31"/>
      <c r="L32" s="31"/>
      <c r="M32" s="31"/>
      <c r="N32" s="31"/>
      <c r="O32" s="31"/>
      <c r="P32" s="31"/>
      <c r="Q32" s="31"/>
      <c r="R32" s="488"/>
      <c r="S32" s="488"/>
      <c r="T32" s="488"/>
      <c r="U32" s="488"/>
      <c r="V32" s="488"/>
      <c r="W32" s="21"/>
      <c r="X32" s="21"/>
      <c r="Y32" s="21"/>
      <c r="Z32" s="21"/>
      <c r="AA32" s="21"/>
    </row>
    <row r="33" spans="1:27" x14ac:dyDescent="0.25">
      <c r="A33" s="554" t="s">
        <v>177</v>
      </c>
      <c r="B33" s="434">
        <f>O36*43560</f>
        <v>0</v>
      </c>
      <c r="C33" s="294" t="s">
        <v>172</v>
      </c>
      <c r="D33" s="617">
        <v>0.78</v>
      </c>
      <c r="E33" s="295">
        <f>'Facility Site Specific Info.'!$D$13</f>
        <v>0</v>
      </c>
      <c r="F33" s="421">
        <f>E33*D33*B33</f>
        <v>0</v>
      </c>
      <c r="G33" s="401"/>
      <c r="H33" s="204" t="s">
        <v>442</v>
      </c>
      <c r="I33" s="21"/>
      <c r="J33" s="31"/>
      <c r="K33" s="31"/>
      <c r="L33" s="31"/>
      <c r="M33" s="31"/>
      <c r="N33" s="31"/>
      <c r="O33" s="31"/>
      <c r="P33" s="31"/>
      <c r="Q33" s="31"/>
      <c r="R33" s="488"/>
      <c r="S33" s="488"/>
      <c r="T33" s="488"/>
      <c r="U33" s="488"/>
      <c r="V33" s="488"/>
      <c r="W33" s="21"/>
      <c r="X33" s="21"/>
      <c r="Y33" s="21"/>
      <c r="Z33" s="21"/>
      <c r="AA33" s="21"/>
    </row>
    <row r="34" spans="1:27" x14ac:dyDescent="0.25">
      <c r="A34" s="555" t="s">
        <v>178</v>
      </c>
      <c r="B34" s="435"/>
      <c r="C34" s="216"/>
      <c r="D34" s="217"/>
      <c r="E34" s="218"/>
      <c r="F34" s="383"/>
      <c r="G34" s="401"/>
      <c r="H34" s="204"/>
      <c r="I34" s="21"/>
      <c r="J34" s="94" t="s">
        <v>305</v>
      </c>
      <c r="K34" s="94" t="s">
        <v>306</v>
      </c>
      <c r="L34" s="94" t="s">
        <v>307</v>
      </c>
      <c r="M34" s="94" t="s">
        <v>310</v>
      </c>
      <c r="N34" s="95" t="s">
        <v>311</v>
      </c>
      <c r="O34" s="95" t="s">
        <v>312</v>
      </c>
      <c r="P34" s="31"/>
      <c r="Q34" s="31"/>
      <c r="R34" s="488"/>
      <c r="S34" s="488"/>
      <c r="T34" s="488"/>
      <c r="U34" s="488"/>
      <c r="V34" s="488"/>
      <c r="W34" s="21"/>
      <c r="X34" s="21"/>
      <c r="Y34" s="21"/>
      <c r="Z34" s="21"/>
      <c r="AA34" s="21"/>
    </row>
    <row r="35" spans="1:27" x14ac:dyDescent="0.25">
      <c r="A35" s="554" t="s">
        <v>175</v>
      </c>
      <c r="B35" s="433">
        <f>IF('Facility Site Specific Info.'!C53="Both",N36,(IF('Facility Site Specific Info.'!C53="Hydroseed",N36+O36,0)))</f>
        <v>0</v>
      </c>
      <c r="C35" s="290" t="s">
        <v>7</v>
      </c>
      <c r="D35" s="618">
        <f>93.5*43.56</f>
        <v>4072.86</v>
      </c>
      <c r="E35" s="291">
        <f>'Facility Site Specific Info.'!$D$13</f>
        <v>0</v>
      </c>
      <c r="F35" s="419">
        <f>E35*D35*B35</f>
        <v>0</v>
      </c>
      <c r="G35" s="401" t="s">
        <v>5</v>
      </c>
      <c r="H35" s="204" t="s">
        <v>402</v>
      </c>
      <c r="I35" s="21"/>
      <c r="J35" s="94" t="s">
        <v>305</v>
      </c>
      <c r="K35" s="94" t="s">
        <v>306</v>
      </c>
      <c r="L35" s="94" t="s">
        <v>307</v>
      </c>
      <c r="M35" s="94" t="s">
        <v>310</v>
      </c>
      <c r="N35" s="95" t="s">
        <v>311</v>
      </c>
      <c r="O35" s="95" t="s">
        <v>312</v>
      </c>
      <c r="P35" s="31"/>
      <c r="Q35" s="31"/>
      <c r="R35" s="488"/>
      <c r="S35" s="488"/>
      <c r="T35" s="488"/>
      <c r="U35" s="488"/>
      <c r="V35" s="488"/>
      <c r="W35" s="21"/>
      <c r="X35" s="21"/>
      <c r="Y35" s="21"/>
      <c r="Z35" s="21"/>
      <c r="AA35" s="21"/>
    </row>
    <row r="36" spans="1:27" x14ac:dyDescent="0.25">
      <c r="A36" s="554" t="s">
        <v>176</v>
      </c>
      <c r="B36" s="436">
        <f>IF('Facility Site Specific Info.'!C53="Both",O36,(IF('Facility Site Specific Info.'!C53="grass seed",N36+O36,0)))</f>
        <v>0</v>
      </c>
      <c r="C36" s="292" t="s">
        <v>7</v>
      </c>
      <c r="D36" s="615">
        <f>40*43.56</f>
        <v>1742.4</v>
      </c>
      <c r="E36" s="293">
        <f>'Facility Site Specific Info.'!$D$13</f>
        <v>0</v>
      </c>
      <c r="F36" s="420">
        <f>E36*D36*B36</f>
        <v>0</v>
      </c>
      <c r="G36" s="401"/>
      <c r="H36" s="204" t="s">
        <v>403</v>
      </c>
      <c r="I36" s="21"/>
      <c r="J36" s="94">
        <f>SQRT(B8*43560)</f>
        <v>0</v>
      </c>
      <c r="K36" s="94">
        <f>J36-(L36*3)</f>
        <v>0</v>
      </c>
      <c r="L36" s="94">
        <f>B9</f>
        <v>0</v>
      </c>
      <c r="M36" s="94">
        <f>(J36-K36)/2</f>
        <v>0</v>
      </c>
      <c r="N36" s="95">
        <f>((SQRT(L36^2+M36^2)*((J36+K36)/2)))*4/43560</f>
        <v>0</v>
      </c>
      <c r="O36" s="95">
        <f>K36^2/43560</f>
        <v>0</v>
      </c>
      <c r="P36" s="31"/>
      <c r="Q36" s="31"/>
      <c r="R36" s="488"/>
      <c r="S36" s="488"/>
      <c r="T36" s="488"/>
      <c r="U36" s="488"/>
      <c r="V36" s="488"/>
      <c r="W36" s="21"/>
      <c r="X36" s="21"/>
      <c r="Y36" s="21"/>
      <c r="Z36" s="21"/>
      <c r="AA36" s="21"/>
    </row>
    <row r="37" spans="1:27" x14ac:dyDescent="0.25">
      <c r="A37" s="558" t="s">
        <v>56</v>
      </c>
      <c r="B37" s="434">
        <f>SUM(B35:B36)</f>
        <v>0</v>
      </c>
      <c r="C37" s="294" t="s">
        <v>46</v>
      </c>
      <c r="D37" s="613">
        <v>330</v>
      </c>
      <c r="E37" s="295">
        <f>'Facility Site Specific Info.'!$D$13</f>
        <v>0</v>
      </c>
      <c r="F37" s="421">
        <f>E37*D37*B37</f>
        <v>0</v>
      </c>
      <c r="G37" s="401"/>
      <c r="H37" s="204" t="s">
        <v>404</v>
      </c>
      <c r="I37" s="21"/>
      <c r="J37" s="31"/>
      <c r="K37" s="31"/>
      <c r="L37" s="31"/>
      <c r="M37" s="31"/>
      <c r="N37" s="31"/>
      <c r="O37" s="31"/>
      <c r="P37" s="31"/>
      <c r="Q37" s="31"/>
      <c r="R37" s="488"/>
      <c r="S37" s="488"/>
      <c r="T37" s="488"/>
      <c r="U37" s="488"/>
      <c r="V37" s="488"/>
      <c r="W37" s="21"/>
      <c r="X37" s="21"/>
      <c r="Y37" s="21"/>
      <c r="Z37" s="21"/>
      <c r="AA37" s="21"/>
    </row>
    <row r="38" spans="1:27" ht="15.75" thickBot="1" x14ac:dyDescent="0.3">
      <c r="A38" s="560" t="s">
        <v>57</v>
      </c>
      <c r="B38" s="439"/>
      <c r="C38" s="240"/>
      <c r="D38" s="222"/>
      <c r="E38" s="223"/>
      <c r="F38" s="422"/>
      <c r="G38" s="374">
        <f>SUM(F27:F37)*(IF('Facility Site Specific Info.'!C50="Yes",1,0))</f>
        <v>0</v>
      </c>
      <c r="H38" s="205"/>
      <c r="I38" s="21"/>
      <c r="J38" s="31"/>
      <c r="K38" s="31"/>
      <c r="L38" s="31"/>
      <c r="M38" s="31"/>
      <c r="N38" s="31"/>
      <c r="O38" s="31"/>
      <c r="P38" s="31"/>
      <c r="Q38" s="31"/>
      <c r="R38" s="488"/>
      <c r="S38" s="488"/>
      <c r="T38" s="488"/>
      <c r="U38" s="488"/>
      <c r="V38" s="488"/>
      <c r="W38" s="21"/>
      <c r="X38" s="21"/>
      <c r="Y38" s="21"/>
      <c r="Z38" s="21"/>
      <c r="AA38" s="21"/>
    </row>
    <row r="39" spans="1:27" ht="21.75" thickBot="1" x14ac:dyDescent="0.4">
      <c r="A39" s="748" t="s">
        <v>64</v>
      </c>
      <c r="B39" s="749"/>
      <c r="C39" s="749"/>
      <c r="D39" s="749"/>
      <c r="E39" s="749"/>
      <c r="F39" s="749"/>
      <c r="G39" s="380" t="e">
        <f>(G38+G24)*(IF('Facility Site Specific Info.'!C50="Yes",1,0))</f>
        <v>#VALUE!</v>
      </c>
      <c r="H39" s="249"/>
      <c r="I39" s="21"/>
      <c r="J39" s="31"/>
      <c r="K39" s="31"/>
      <c r="L39" s="31"/>
      <c r="M39" s="31"/>
      <c r="N39" s="31"/>
      <c r="O39" s="31"/>
      <c r="P39" s="31"/>
      <c r="Q39" s="31"/>
      <c r="R39" s="488"/>
      <c r="S39" s="488"/>
      <c r="T39" s="488"/>
      <c r="U39" s="488"/>
      <c r="V39" s="488"/>
      <c r="W39" s="21"/>
      <c r="X39" s="21"/>
      <c r="Y39" s="21"/>
      <c r="Z39" s="21"/>
      <c r="AA39" s="21"/>
    </row>
    <row r="40" spans="1:27" ht="20.100000000000001" customHeight="1" x14ac:dyDescent="0.35">
      <c r="A40" s="561" t="s">
        <v>65</v>
      </c>
      <c r="B40" s="252"/>
      <c r="C40" s="252"/>
      <c r="D40" s="234"/>
      <c r="E40" s="235"/>
      <c r="F40" s="234"/>
      <c r="G40" s="234"/>
      <c r="H40" s="209"/>
      <c r="I40" s="21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488"/>
      <c r="U40" s="488"/>
      <c r="V40" s="488"/>
      <c r="W40" s="21"/>
      <c r="X40" s="21"/>
      <c r="Y40" s="21"/>
      <c r="Z40" s="21"/>
      <c r="AA40" s="21"/>
    </row>
    <row r="41" spans="1:27" x14ac:dyDescent="0.25">
      <c r="A41" s="572" t="s">
        <v>66</v>
      </c>
      <c r="B41" s="236">
        <f>1*IF('Facility Site Specific Info.'!C51="No",1,0)</f>
        <v>0</v>
      </c>
      <c r="C41" s="253" t="s">
        <v>167</v>
      </c>
      <c r="D41" s="621">
        <v>0.1</v>
      </c>
      <c r="E41" s="237"/>
      <c r="F41" s="428" t="e">
        <f>G39*0.1</f>
        <v>#VALUE!</v>
      </c>
      <c r="G41" s="384"/>
      <c r="H41" s="210"/>
      <c r="I41" s="21"/>
      <c r="J41" s="31"/>
      <c r="K41" s="31"/>
      <c r="L41" s="31"/>
      <c r="M41" s="31"/>
      <c r="N41" s="31"/>
      <c r="O41" s="31"/>
      <c r="P41" s="488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5.75" thickBot="1" x14ac:dyDescent="0.3">
      <c r="A42" s="560" t="s">
        <v>70</v>
      </c>
      <c r="B42" s="239"/>
      <c r="C42" s="239"/>
      <c r="D42" s="219"/>
      <c r="E42" s="246"/>
      <c r="F42" s="384"/>
      <c r="G42" s="407" t="e">
        <f>SUM(F41:F41)*(IF('Facility Site Specific Info.'!C50="Yes",1,0))</f>
        <v>#VALUE!</v>
      </c>
      <c r="H42" s="205"/>
      <c r="I42" s="21"/>
      <c r="J42" s="31"/>
      <c r="K42" s="31"/>
      <c r="L42" s="31"/>
      <c r="M42" s="31"/>
      <c r="N42" s="31"/>
      <c r="O42" s="3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20.100000000000001" customHeight="1" x14ac:dyDescent="0.3">
      <c r="A43" s="654" t="s">
        <v>71</v>
      </c>
      <c r="B43" s="655"/>
      <c r="C43" s="655"/>
      <c r="D43" s="656"/>
      <c r="E43" s="657"/>
      <c r="F43" s="656"/>
      <c r="G43" s="656"/>
      <c r="H43" s="211"/>
      <c r="I43" s="21"/>
      <c r="J43" s="31"/>
      <c r="K43" s="31"/>
      <c r="L43" s="31"/>
      <c r="M43" s="31"/>
      <c r="N43" s="31"/>
      <c r="O43" s="3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x14ac:dyDescent="0.25">
      <c r="A44" s="651" t="s">
        <v>72</v>
      </c>
      <c r="B44" s="236">
        <f>IF('Facility Site Specific Info.'!C50="Yes",1,0)</f>
        <v>0</v>
      </c>
      <c r="C44" s="236" t="s">
        <v>167</v>
      </c>
      <c r="D44" s="621">
        <v>0.05</v>
      </c>
      <c r="E44" s="652"/>
      <c r="F44" s="618" t="e">
        <f>G39*0.05</f>
        <v>#VALUE!</v>
      </c>
      <c r="G44" s="653" t="s">
        <v>5</v>
      </c>
      <c r="H44" s="201"/>
      <c r="I44" s="21"/>
      <c r="J44" s="31"/>
      <c r="K44" s="31"/>
      <c r="L44" s="31"/>
      <c r="M44" s="31"/>
      <c r="N44" s="31"/>
      <c r="O44" s="3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x14ac:dyDescent="0.25">
      <c r="A45" s="574" t="s">
        <v>73</v>
      </c>
      <c r="B45" s="256">
        <f>IF('Facility Site Specific Info.'!C50="Yes",1,0)</f>
        <v>0</v>
      </c>
      <c r="C45" s="256" t="s">
        <v>167</v>
      </c>
      <c r="D45" s="623">
        <v>0.1</v>
      </c>
      <c r="E45" s="245"/>
      <c r="F45" s="369" t="e">
        <f>G39*0.1</f>
        <v>#VALUE!</v>
      </c>
      <c r="G45" s="384" t="s">
        <v>5</v>
      </c>
      <c r="H45" s="201"/>
      <c r="I45" s="21"/>
      <c r="J45" s="31"/>
      <c r="K45" s="31"/>
      <c r="L45" s="31"/>
      <c r="M45" s="31"/>
      <c r="N45" s="31"/>
      <c r="O45" s="3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5.75" thickBot="1" x14ac:dyDescent="0.3">
      <c r="A46" s="575" t="s">
        <v>74</v>
      </c>
      <c r="B46" s="240"/>
      <c r="C46" s="221"/>
      <c r="D46" s="222"/>
      <c r="E46" s="248"/>
      <c r="F46" s="224"/>
      <c r="G46" s="409" t="e">
        <f>SUM(F44:F45)*(IF('Facility Site Specific Info.'!C50="Yes",1,0))</f>
        <v>#VALUE!</v>
      </c>
      <c r="H46" s="203"/>
      <c r="I46" s="21"/>
      <c r="J46" s="31"/>
      <c r="K46" s="31"/>
      <c r="L46" s="31"/>
      <c r="M46" s="31"/>
      <c r="N46" s="31"/>
      <c r="O46" s="3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21.75" thickBot="1" x14ac:dyDescent="0.4">
      <c r="A47" s="750" t="s">
        <v>75</v>
      </c>
      <c r="B47" s="751"/>
      <c r="C47" s="751"/>
      <c r="D47" s="751"/>
      <c r="E47" s="751"/>
      <c r="F47" s="751"/>
      <c r="G47" s="410">
        <f>(IF('Facility Site Specific Info.'!C50="Yes",(G39+G42+G46),0))</f>
        <v>0</v>
      </c>
      <c r="H47" s="247"/>
      <c r="I47" s="21"/>
      <c r="J47" s="31"/>
      <c r="K47" s="31"/>
      <c r="L47" s="31"/>
      <c r="M47" s="31"/>
      <c r="N47" s="31"/>
      <c r="O47" s="3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24" thickTop="1" x14ac:dyDescent="0.35">
      <c r="A48" s="747"/>
      <c r="B48" s="747"/>
      <c r="C48" s="747"/>
      <c r="D48" s="747"/>
      <c r="E48" s="747"/>
      <c r="F48" s="747"/>
      <c r="G48" s="25"/>
      <c r="H48" s="26"/>
      <c r="I48" s="21"/>
      <c r="J48" s="31"/>
      <c r="K48" s="31"/>
      <c r="L48" s="31"/>
      <c r="M48" s="31"/>
      <c r="N48" s="31"/>
      <c r="O48" s="3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</sheetData>
  <mergeCells count="10">
    <mergeCell ref="B6:D6"/>
    <mergeCell ref="A11:H11"/>
    <mergeCell ref="A47:F47"/>
    <mergeCell ref="A48:F48"/>
    <mergeCell ref="B1:D1"/>
    <mergeCell ref="B2:D2"/>
    <mergeCell ref="B3:D3"/>
    <mergeCell ref="B4:D4"/>
    <mergeCell ref="B5:D5"/>
    <mergeCell ref="A39:F39"/>
  </mergeCells>
  <dataValidations disablePrompts="1" count="2">
    <dataValidation type="list" allowBlank="1" showInputMessage="1" showErrorMessage="1" sqref="L13:M15">
      <formula1>$L$9:$L$14</formula1>
    </dataValidation>
    <dataValidation type="list" allowBlank="1" showInputMessage="1" showErrorMessage="1" sqref="M10:N12">
      <formula1>$M$10:$M$24</formula1>
    </dataValidation>
  </dataValidations>
  <pageMargins left="0.7" right="0.7" top="0.75" bottom="0.75" header="0.3" footer="0.3"/>
  <pageSetup scale="5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/>
    <pageSetUpPr fitToPage="1"/>
  </sheetPr>
  <dimension ref="A1:AA30"/>
  <sheetViews>
    <sheetView view="pageBreakPreview" zoomScale="60" zoomScaleNormal="85" workbookViewId="0">
      <selection activeCell="G26" sqref="G26"/>
    </sheetView>
  </sheetViews>
  <sheetFormatPr defaultColWidth="9.140625" defaultRowHeight="15" x14ac:dyDescent="0.25"/>
  <cols>
    <col min="1" max="1" width="63.42578125" style="2" customWidth="1"/>
    <col min="2" max="2" width="11.7109375" style="2" customWidth="1"/>
    <col min="3" max="3" width="12.5703125" style="2" customWidth="1"/>
    <col min="4" max="4" width="13.5703125" style="2" customWidth="1"/>
    <col min="5" max="5" width="26.7109375" style="2" customWidth="1"/>
    <col min="6" max="6" width="23.140625" style="2" customWidth="1"/>
    <col min="7" max="7" width="16.28515625" style="2" customWidth="1"/>
    <col min="8" max="8" width="40.42578125" style="2" customWidth="1"/>
    <col min="9" max="10" width="9.140625" style="2"/>
    <col min="11" max="11" width="14.42578125" style="2" customWidth="1"/>
    <col min="12" max="12" width="11.85546875" style="2" customWidth="1"/>
    <col min="13" max="16384" width="9.140625" style="2"/>
  </cols>
  <sheetData>
    <row r="1" spans="1:27" ht="15" customHeight="1" x14ac:dyDescent="0.25">
      <c r="A1" s="114" t="s">
        <v>106</v>
      </c>
      <c r="B1" s="756">
        <f>'Facility Site Specific Info.'!C4</f>
        <v>0</v>
      </c>
      <c r="C1" s="756"/>
      <c r="D1" s="756"/>
      <c r="E1" s="93"/>
      <c r="F1" s="10"/>
      <c r="G1" s="10"/>
      <c r="H1" s="10"/>
      <c r="I1" s="10"/>
      <c r="J1" s="10"/>
    </row>
    <row r="2" spans="1:27" ht="15" customHeight="1" x14ac:dyDescent="0.25">
      <c r="A2" s="114" t="s">
        <v>194</v>
      </c>
      <c r="B2" s="757">
        <f>'Facility Site Specific Info.'!C5</f>
        <v>0</v>
      </c>
      <c r="C2" s="757"/>
      <c r="D2" s="757"/>
      <c r="E2" s="93"/>
      <c r="F2" s="10"/>
      <c r="G2" s="10"/>
      <c r="H2" s="10"/>
      <c r="I2" s="10"/>
      <c r="J2" s="10"/>
    </row>
    <row r="3" spans="1:27" ht="15" customHeight="1" x14ac:dyDescent="0.25">
      <c r="A3" s="114" t="s">
        <v>181</v>
      </c>
      <c r="B3" s="758">
        <f>'Facility Site Specific Info.'!C6</f>
        <v>0</v>
      </c>
      <c r="C3" s="758"/>
      <c r="D3" s="758"/>
      <c r="E3" s="93"/>
      <c r="F3" s="10"/>
      <c r="G3" s="10"/>
      <c r="H3" s="10"/>
      <c r="I3" s="10"/>
      <c r="J3" s="10"/>
    </row>
    <row r="4" spans="1:27" ht="15" customHeight="1" x14ac:dyDescent="0.25">
      <c r="A4" s="114" t="s">
        <v>108</v>
      </c>
      <c r="B4" s="758">
        <f>'Facility Site Specific Info.'!C7</f>
        <v>0</v>
      </c>
      <c r="C4" s="758"/>
      <c r="D4" s="758"/>
      <c r="E4" s="93"/>
      <c r="F4" s="10"/>
      <c r="G4" s="10"/>
      <c r="H4" s="10"/>
      <c r="I4" s="10"/>
      <c r="J4" s="10"/>
    </row>
    <row r="5" spans="1:27" ht="15" customHeight="1" x14ac:dyDescent="0.25">
      <c r="A5" s="114" t="s">
        <v>182</v>
      </c>
      <c r="B5" s="757">
        <f>'Facility Site Specific Info.'!C8</f>
        <v>0</v>
      </c>
      <c r="C5" s="757"/>
      <c r="D5" s="757"/>
      <c r="E5" s="93"/>
      <c r="F5" s="10"/>
      <c r="G5" s="10"/>
      <c r="H5" s="10"/>
      <c r="I5" s="10"/>
      <c r="J5" s="10"/>
    </row>
    <row r="6" spans="1:27" ht="15" customHeight="1" x14ac:dyDescent="0.25">
      <c r="A6" s="114" t="s">
        <v>107</v>
      </c>
      <c r="B6" s="752">
        <f>'Facility Site Specific Info.'!C9</f>
        <v>0</v>
      </c>
      <c r="C6" s="752"/>
      <c r="D6" s="752"/>
      <c r="E6" s="93"/>
      <c r="F6" s="10"/>
      <c r="G6" s="10"/>
      <c r="H6" s="10"/>
      <c r="I6" s="10"/>
      <c r="J6" s="10"/>
    </row>
    <row r="7" spans="1:27" ht="15" customHeight="1" x14ac:dyDescent="0.25">
      <c r="A7" s="114"/>
      <c r="B7" s="98"/>
      <c r="C7" s="98"/>
      <c r="D7" s="98"/>
      <c r="E7" s="93"/>
      <c r="F7" s="10"/>
      <c r="G7" s="10"/>
      <c r="H7" s="10"/>
      <c r="I7" s="10"/>
      <c r="J7" s="10"/>
    </row>
    <row r="8" spans="1:27" ht="15" customHeight="1" x14ac:dyDescent="0.25">
      <c r="A8" s="258" t="s">
        <v>378</v>
      </c>
      <c r="B8" s="8">
        <f>'Facility Site Specific Info.'!C54</f>
        <v>0</v>
      </c>
      <c r="C8" s="92" t="s">
        <v>322</v>
      </c>
      <c r="D8" s="194"/>
      <c r="E8" s="93"/>
      <c r="F8" s="18"/>
      <c r="G8" s="18"/>
      <c r="H8" s="18"/>
      <c r="I8" s="18"/>
      <c r="J8" s="18"/>
      <c r="K8" s="31"/>
      <c r="L8" s="31"/>
      <c r="M8" s="31"/>
      <c r="N8" s="3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15" customHeight="1" x14ac:dyDescent="0.25">
      <c r="A9" s="258" t="s">
        <v>379</v>
      </c>
      <c r="B9" s="19">
        <f>'Facility Site Specific Info.'!C55</f>
        <v>0</v>
      </c>
      <c r="C9" s="92" t="s">
        <v>322</v>
      </c>
      <c r="D9" s="76"/>
      <c r="E9" s="18"/>
      <c r="F9" s="18"/>
      <c r="G9" s="18"/>
      <c r="H9" s="18"/>
      <c r="I9" s="18"/>
      <c r="J9" s="18"/>
      <c r="K9" s="31"/>
      <c r="L9" s="31"/>
      <c r="M9" s="31"/>
      <c r="N9" s="3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s="3" customFormat="1" ht="15" customHeight="1" x14ac:dyDescent="0.25">
      <c r="A10" s="7"/>
      <c r="B10" s="12"/>
      <c r="C10" s="6"/>
      <c r="D10" s="11"/>
      <c r="E10" s="11"/>
      <c r="F10" s="7"/>
      <c r="G10" s="12"/>
      <c r="H10" s="6"/>
    </row>
    <row r="11" spans="1:27" s="3" customFormat="1" ht="15" customHeight="1" thickBot="1" x14ac:dyDescent="0.3">
      <c r="A11" s="7"/>
      <c r="B11" s="12"/>
      <c r="C11" s="6"/>
      <c r="D11" s="11"/>
      <c r="E11" s="11"/>
      <c r="F11" s="7"/>
      <c r="G11" s="12"/>
      <c r="H11" s="6"/>
    </row>
    <row r="12" spans="1:27" ht="27" customHeight="1" thickTop="1" thickBot="1" x14ac:dyDescent="0.55000000000000004">
      <c r="A12" s="778" t="s">
        <v>389</v>
      </c>
      <c r="B12" s="778"/>
      <c r="C12" s="778"/>
      <c r="D12" s="778"/>
      <c r="E12" s="778"/>
      <c r="F12" s="778"/>
      <c r="G12" s="778"/>
      <c r="H12" s="779"/>
    </row>
    <row r="13" spans="1:27" ht="17.25" thickTop="1" thickBot="1" x14ac:dyDescent="0.3">
      <c r="A13" s="195" t="s">
        <v>22</v>
      </c>
      <c r="B13" s="196" t="s">
        <v>0</v>
      </c>
      <c r="C13" s="196" t="s">
        <v>1</v>
      </c>
      <c r="D13" s="197" t="s">
        <v>2</v>
      </c>
      <c r="E13" s="198" t="s">
        <v>43</v>
      </c>
      <c r="F13" s="199" t="s">
        <v>3</v>
      </c>
      <c r="G13" s="196" t="s">
        <v>4</v>
      </c>
      <c r="H13" s="200" t="s">
        <v>26</v>
      </c>
    </row>
    <row r="14" spans="1:27" ht="21" x14ac:dyDescent="0.35">
      <c r="A14" s="227" t="s">
        <v>10</v>
      </c>
      <c r="B14" s="454"/>
      <c r="C14" s="238"/>
      <c r="D14" s="375"/>
      <c r="E14" s="227"/>
      <c r="F14" s="375"/>
      <c r="G14" s="227"/>
      <c r="H14" s="307"/>
    </row>
    <row r="15" spans="1:27" x14ac:dyDescent="0.25">
      <c r="A15" s="658" t="s">
        <v>29</v>
      </c>
      <c r="B15" s="328">
        <f>(B8+B9)*3</f>
        <v>0</v>
      </c>
      <c r="C15" s="659" t="s">
        <v>7</v>
      </c>
      <c r="D15" s="660">
        <v>116</v>
      </c>
      <c r="E15" s="661">
        <f>'Facility Site Specific Info.'!$D$13</f>
        <v>0</v>
      </c>
      <c r="F15" s="662">
        <f>E15*D15*B15</f>
        <v>0</v>
      </c>
      <c r="G15" s="325"/>
      <c r="H15" s="204" t="s">
        <v>432</v>
      </c>
    </row>
    <row r="16" spans="1:27" x14ac:dyDescent="0.25">
      <c r="A16" s="663" t="s">
        <v>32</v>
      </c>
      <c r="B16" s="664">
        <f>B8*43560*2/27*0.02*IF('Facility Site Specific Info.'!C58="Yes",1,0)</f>
        <v>0</v>
      </c>
      <c r="C16" s="665" t="s">
        <v>9</v>
      </c>
      <c r="D16" s="666">
        <f>SUM('Type III Closure'!D27:D28)</f>
        <v>10.45</v>
      </c>
      <c r="E16" s="667">
        <f>'Facility Site Specific Info.'!$D$13</f>
        <v>0</v>
      </c>
      <c r="F16" s="668">
        <f>E16*D16*B16</f>
        <v>0</v>
      </c>
      <c r="G16" s="325"/>
      <c r="H16" s="204" t="s">
        <v>432</v>
      </c>
    </row>
    <row r="17" spans="1:27" x14ac:dyDescent="0.25">
      <c r="A17" s="663" t="s">
        <v>27</v>
      </c>
      <c r="B17" s="329">
        <f>B8*43560*2/27*0.02*IF('Facility Site Specific Info.'!C58="No",1,0)</f>
        <v>0</v>
      </c>
      <c r="C17" s="665" t="s">
        <v>6</v>
      </c>
      <c r="D17" s="666">
        <f>SUM('Type III Closure'!D30:D31)</f>
        <v>9.5500000000000007</v>
      </c>
      <c r="E17" s="667">
        <f>'Facility Site Specific Info.'!$D$13</f>
        <v>0</v>
      </c>
      <c r="F17" s="668">
        <f>E17*D17*B17</f>
        <v>0</v>
      </c>
      <c r="G17" s="325" t="s">
        <v>5</v>
      </c>
      <c r="H17" s="204" t="s">
        <v>432</v>
      </c>
    </row>
    <row r="18" spans="1:27" x14ac:dyDescent="0.25">
      <c r="A18" s="663" t="s">
        <v>33</v>
      </c>
      <c r="B18" s="329">
        <f>(B8+B9)*0.02</f>
        <v>0</v>
      </c>
      <c r="C18" s="665" t="s">
        <v>7</v>
      </c>
      <c r="D18" s="666">
        <f>40*43.56</f>
        <v>1742.4</v>
      </c>
      <c r="E18" s="667">
        <f>'Facility Site Specific Info.'!$D$13</f>
        <v>0</v>
      </c>
      <c r="F18" s="668">
        <f>E18*D18*B18</f>
        <v>0</v>
      </c>
      <c r="G18" s="325" t="s">
        <v>5</v>
      </c>
      <c r="H18" s="204" t="s">
        <v>403</v>
      </c>
    </row>
    <row r="19" spans="1:27" x14ac:dyDescent="0.25">
      <c r="A19" s="663" t="s">
        <v>34</v>
      </c>
      <c r="B19" s="330">
        <f>(B8+B9)*0.02</f>
        <v>0</v>
      </c>
      <c r="C19" s="669" t="s">
        <v>7</v>
      </c>
      <c r="D19" s="670">
        <v>330</v>
      </c>
      <c r="E19" s="671">
        <f>'Facility Site Specific Info.'!$D$13</f>
        <v>0</v>
      </c>
      <c r="F19" s="672">
        <f>E19*D19*B19</f>
        <v>0</v>
      </c>
      <c r="G19" s="325"/>
      <c r="H19" s="204" t="s">
        <v>404</v>
      </c>
    </row>
    <row r="20" spans="1:27" ht="15.75" thickBot="1" x14ac:dyDescent="0.3">
      <c r="A20" s="673" t="s">
        <v>11</v>
      </c>
      <c r="B20" s="494"/>
      <c r="C20" s="494"/>
      <c r="D20" s="495"/>
      <c r="E20" s="495"/>
      <c r="F20" s="496"/>
      <c r="G20" s="27">
        <f>SUM(F15:F19)</f>
        <v>0</v>
      </c>
      <c r="H20" s="497"/>
    </row>
    <row r="21" spans="1:27" ht="22.5" thickTop="1" thickBot="1" x14ac:dyDescent="0.3">
      <c r="A21" s="780" t="s">
        <v>381</v>
      </c>
      <c r="B21" s="760"/>
      <c r="C21" s="760"/>
      <c r="D21" s="760"/>
      <c r="E21" s="760"/>
      <c r="F21" s="761"/>
      <c r="G21" s="28">
        <f>SUM(G20)</f>
        <v>0</v>
      </c>
      <c r="H21" s="498"/>
    </row>
    <row r="22" spans="1:27" ht="20.100000000000001" customHeight="1" x14ac:dyDescent="0.35">
      <c r="A22" s="228" t="s">
        <v>65</v>
      </c>
      <c r="B22" s="252"/>
      <c r="C22" s="252"/>
      <c r="D22" s="234"/>
      <c r="E22" s="235"/>
      <c r="F22" s="234"/>
      <c r="G22" s="234"/>
      <c r="H22" s="209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x14ac:dyDescent="0.25">
      <c r="A23" s="659" t="s">
        <v>30</v>
      </c>
      <c r="B23" s="659">
        <f>IF('Facility Site Specific Info.'!C50="Yes",1,0)</f>
        <v>0</v>
      </c>
      <c r="C23" s="659" t="s">
        <v>167</v>
      </c>
      <c r="D23" s="660">
        <v>0.05</v>
      </c>
      <c r="E23" s="660"/>
      <c r="F23" s="677">
        <f>B23*G21*0.05</f>
        <v>0</v>
      </c>
      <c r="G23" s="325" t="s">
        <v>5</v>
      </c>
      <c r="H23" s="13"/>
    </row>
    <row r="24" spans="1:27" x14ac:dyDescent="0.25">
      <c r="A24" s="665" t="s">
        <v>31</v>
      </c>
      <c r="B24" s="669">
        <f>IF('Facility Site Specific Info.'!C50="Yes",1,0)</f>
        <v>0</v>
      </c>
      <c r="C24" s="678" t="s">
        <v>167</v>
      </c>
      <c r="D24" s="670">
        <v>0.1</v>
      </c>
      <c r="E24" s="670"/>
      <c r="F24" s="679">
        <f>B24*G21*0.1</f>
        <v>0</v>
      </c>
      <c r="G24" s="325" t="s">
        <v>5</v>
      </c>
      <c r="H24" s="13"/>
    </row>
    <row r="25" spans="1:27" ht="15.75" thickBot="1" x14ac:dyDescent="0.3">
      <c r="A25" s="674" t="s">
        <v>28</v>
      </c>
      <c r="B25" s="675"/>
      <c r="C25" s="675"/>
      <c r="D25" s="676"/>
      <c r="E25" s="676"/>
      <c r="F25" s="675"/>
      <c r="G25" s="27">
        <f>SUM(F23:F24)</f>
        <v>0</v>
      </c>
      <c r="H25" s="497"/>
    </row>
    <row r="26" spans="1:27" ht="21.75" thickTop="1" x14ac:dyDescent="0.25">
      <c r="A26" s="766" t="s">
        <v>380</v>
      </c>
      <c r="B26" s="766"/>
      <c r="C26" s="766"/>
      <c r="D26" s="766"/>
      <c r="E26" s="766"/>
      <c r="F26" s="767"/>
      <c r="G26" s="29">
        <f>G25+G21</f>
        <v>0</v>
      </c>
      <c r="H26" s="499"/>
    </row>
    <row r="27" spans="1:27" ht="15" customHeight="1" thickBot="1" x14ac:dyDescent="0.3">
      <c r="A27" s="763" t="str">
        <f>"TOTAL POST-CLOSURE COST FOR "&amp;'Facility Site Specific Info.'!C52&amp;" YEARS"</f>
        <v>TOTAL POST-CLOSURE COST FOR  YEARS</v>
      </c>
      <c r="B27" s="763"/>
      <c r="C27" s="763"/>
      <c r="D27" s="763"/>
      <c r="E27" s="763"/>
      <c r="F27" s="764"/>
      <c r="G27" s="30">
        <f>(IF('Facility Site Specific Info.'!C50="Yes",(G26*'Facility Site Specific Info.'!C52),0))</f>
        <v>0</v>
      </c>
      <c r="H27" s="500"/>
    </row>
    <row r="28" spans="1:27" ht="15.75" thickTop="1" x14ac:dyDescent="0.25">
      <c r="D28" s="5"/>
      <c r="E28" s="5"/>
      <c r="G28" s="1"/>
    </row>
    <row r="29" spans="1:27" x14ac:dyDescent="0.25">
      <c r="D29" s="5"/>
      <c r="E29" s="5"/>
      <c r="G29" s="1"/>
    </row>
    <row r="30" spans="1:27" x14ac:dyDescent="0.25">
      <c r="D30" s="5"/>
      <c r="E30" s="5"/>
      <c r="G30" s="1"/>
    </row>
  </sheetData>
  <mergeCells count="10">
    <mergeCell ref="A21:F21"/>
    <mergeCell ref="A26:F26"/>
    <mergeCell ref="A12:H12"/>
    <mergeCell ref="A27:F27"/>
    <mergeCell ref="B6:D6"/>
    <mergeCell ref="B1:D1"/>
    <mergeCell ref="B2:D2"/>
    <mergeCell ref="B3:D3"/>
    <mergeCell ref="B4:D4"/>
    <mergeCell ref="B5:D5"/>
  </mergeCells>
  <pageMargins left="0.7" right="0.7" top="0.75" bottom="0.75" header="0.3" footer="0.3"/>
  <pageSetup paperSize="5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/>
  </sheetPr>
  <dimension ref="A1:AE56"/>
  <sheetViews>
    <sheetView view="pageBreakPreview" topLeftCell="A7" zoomScale="85" zoomScaleNormal="100" zoomScaleSheetLayoutView="85" workbookViewId="0">
      <selection activeCell="B32" sqref="B32"/>
    </sheetView>
  </sheetViews>
  <sheetFormatPr defaultRowHeight="15" x14ac:dyDescent="0.25"/>
  <cols>
    <col min="1" max="1" width="44.7109375" customWidth="1"/>
    <col min="2" max="2" width="15.28515625" customWidth="1"/>
    <col min="3" max="3" width="4.85546875" customWidth="1"/>
    <col min="4" max="4" width="18.7109375" customWidth="1"/>
    <col min="7" max="7" width="12.85546875" customWidth="1"/>
    <col min="10" max="10" width="14.140625" customWidth="1"/>
    <col min="13" max="13" width="12.42578125" customWidth="1"/>
    <col min="14" max="14" width="12" customWidth="1"/>
    <col min="15" max="15" width="13.28515625" customWidth="1"/>
    <col min="16" max="16" width="14.7109375" customWidth="1"/>
  </cols>
  <sheetData>
    <row r="1" spans="1:31" s="2" customFormat="1" ht="15" customHeight="1" x14ac:dyDescent="0.25">
      <c r="A1" s="114" t="s">
        <v>106</v>
      </c>
      <c r="B1" s="756">
        <f>'Facility Site Specific Info.'!C4</f>
        <v>0</v>
      </c>
      <c r="C1" s="756"/>
      <c r="D1" s="756"/>
      <c r="E1" s="93"/>
      <c r="F1" s="10"/>
      <c r="G1" s="10"/>
      <c r="H1" s="10"/>
      <c r="I1" s="10"/>
      <c r="J1" s="10"/>
    </row>
    <row r="2" spans="1:31" s="2" customFormat="1" ht="15" customHeight="1" x14ac:dyDescent="0.25">
      <c r="A2" s="114" t="s">
        <v>194</v>
      </c>
      <c r="B2" s="757">
        <f>'Facility Site Specific Info.'!C5</f>
        <v>0</v>
      </c>
      <c r="C2" s="757"/>
      <c r="D2" s="757"/>
      <c r="E2" s="93"/>
      <c r="F2" s="10"/>
      <c r="G2" s="10"/>
      <c r="H2" s="10"/>
      <c r="I2" s="10"/>
      <c r="J2" s="10"/>
    </row>
    <row r="3" spans="1:31" s="2" customFormat="1" ht="15" customHeight="1" x14ac:dyDescent="0.25">
      <c r="A3" s="114" t="s">
        <v>181</v>
      </c>
      <c r="B3" s="758">
        <f>'Facility Site Specific Info.'!C6</f>
        <v>0</v>
      </c>
      <c r="C3" s="758"/>
      <c r="D3" s="758"/>
      <c r="E3" s="93"/>
      <c r="F3" s="10"/>
      <c r="G3" s="10"/>
      <c r="H3" s="10"/>
      <c r="I3" s="10"/>
      <c r="J3" s="10"/>
    </row>
    <row r="4" spans="1:31" s="2" customFormat="1" ht="15" customHeight="1" x14ac:dyDescent="0.25">
      <c r="A4" s="114" t="s">
        <v>108</v>
      </c>
      <c r="B4" s="758">
        <f>'Facility Site Specific Info.'!C7</f>
        <v>0</v>
      </c>
      <c r="C4" s="758"/>
      <c r="D4" s="758"/>
      <c r="E4" s="93"/>
      <c r="F4" s="10"/>
      <c r="G4" s="10"/>
      <c r="H4" s="10"/>
      <c r="I4" s="10"/>
      <c r="J4" s="10"/>
    </row>
    <row r="5" spans="1:31" s="2" customFormat="1" ht="15" customHeight="1" x14ac:dyDescent="0.25">
      <c r="A5" s="114" t="s">
        <v>182</v>
      </c>
      <c r="B5" s="757">
        <f>'Facility Site Specific Info.'!C8</f>
        <v>0</v>
      </c>
      <c r="C5" s="757"/>
      <c r="D5" s="757"/>
      <c r="E5" s="93"/>
      <c r="F5" s="10"/>
      <c r="G5" s="10"/>
      <c r="H5" s="10"/>
      <c r="I5" s="10"/>
      <c r="J5" s="10"/>
    </row>
    <row r="6" spans="1:31" s="2" customFormat="1" ht="15" customHeight="1" x14ac:dyDescent="0.25">
      <c r="A6" s="114" t="s">
        <v>107</v>
      </c>
      <c r="B6" s="752">
        <f>'Facility Site Specific Info.'!C9</f>
        <v>0</v>
      </c>
      <c r="C6" s="752"/>
      <c r="D6" s="752"/>
      <c r="E6" s="93"/>
      <c r="F6" s="10"/>
      <c r="G6" s="10"/>
      <c r="H6" s="10"/>
      <c r="I6" s="10"/>
      <c r="J6" s="10"/>
    </row>
    <row r="7" spans="1:31" s="2" customFormat="1" ht="15" customHeight="1" thickBot="1" x14ac:dyDescent="0.3">
      <c r="A7" s="114"/>
      <c r="B7" s="98"/>
      <c r="C7" s="98"/>
      <c r="D7" s="98"/>
      <c r="E7" s="93"/>
      <c r="F7" s="10"/>
      <c r="G7" s="10"/>
      <c r="H7" s="10"/>
      <c r="I7" s="10"/>
      <c r="J7" s="10"/>
    </row>
    <row r="8" spans="1:31" s="2" customFormat="1" ht="33" customHeight="1" thickTop="1" thickBot="1" x14ac:dyDescent="0.3">
      <c r="A8" s="785" t="s">
        <v>461</v>
      </c>
      <c r="B8" s="786"/>
      <c r="C8" s="786"/>
      <c r="D8" s="786"/>
      <c r="E8" s="786"/>
      <c r="F8" s="786"/>
      <c r="G8" s="786"/>
      <c r="H8" s="786"/>
      <c r="I8" s="786"/>
      <c r="J8" s="786"/>
      <c r="K8" s="787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31" ht="16.5" thickTop="1" thickBot="1" x14ac:dyDescent="0.3">
      <c r="A9" s="32" t="s">
        <v>124</v>
      </c>
      <c r="B9" s="33" t="s">
        <v>125</v>
      </c>
      <c r="C9" s="2"/>
      <c r="D9" s="781" t="s">
        <v>126</v>
      </c>
      <c r="E9" s="782"/>
      <c r="F9" s="34"/>
      <c r="G9" s="78" t="s">
        <v>120</v>
      </c>
      <c r="H9" s="35" t="s">
        <v>127</v>
      </c>
      <c r="I9" s="36"/>
      <c r="J9" s="78" t="s">
        <v>120</v>
      </c>
      <c r="K9" s="35" t="s">
        <v>127</v>
      </c>
      <c r="L9" s="2"/>
      <c r="M9" s="783" t="s">
        <v>208</v>
      </c>
      <c r="N9" s="783"/>
      <c r="O9" s="783"/>
      <c r="P9" s="783"/>
      <c r="Q9" s="783"/>
      <c r="R9" s="783"/>
      <c r="S9" s="783"/>
      <c r="T9" s="783"/>
      <c r="U9" s="783"/>
      <c r="V9" s="783"/>
      <c r="W9" s="783"/>
      <c r="X9" s="783"/>
      <c r="Y9" s="783"/>
      <c r="Z9" s="783"/>
      <c r="AA9" s="783"/>
      <c r="AB9" s="783"/>
      <c r="AC9" s="783"/>
      <c r="AD9" s="783"/>
      <c r="AE9" s="783"/>
    </row>
    <row r="10" spans="1:31" ht="15.75" thickBot="1" x14ac:dyDescent="0.3">
      <c r="A10" s="37" t="s">
        <v>128</v>
      </c>
      <c r="B10" s="38"/>
      <c r="C10" s="2"/>
      <c r="D10" s="89" t="s">
        <v>239</v>
      </c>
      <c r="E10" s="80">
        <f>IF('Facility Site Specific Info.'!J65=TRUE,'Facility Site Specific Info.'!I65,0)</f>
        <v>0</v>
      </c>
      <c r="F10" s="39"/>
      <c r="G10" s="40" t="s">
        <v>243</v>
      </c>
      <c r="H10" s="41">
        <v>40</v>
      </c>
      <c r="I10" s="42"/>
      <c r="J10" s="40"/>
      <c r="K10" s="41">
        <v>0</v>
      </c>
      <c r="L10" s="2"/>
      <c r="M10" s="2" t="s">
        <v>210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15.75" thickBot="1" x14ac:dyDescent="0.3">
      <c r="A11" s="43" t="s">
        <v>211</v>
      </c>
      <c r="B11" s="44">
        <v>550</v>
      </c>
      <c r="C11" s="2"/>
      <c r="D11" s="85" t="s">
        <v>240</v>
      </c>
      <c r="E11" s="80">
        <f>IF('Facility Site Specific Info.'!J66=TRUE,'Facility Site Specific Info.'!I66,0)</f>
        <v>0</v>
      </c>
      <c r="F11" s="39"/>
      <c r="G11" s="40" t="s">
        <v>209</v>
      </c>
      <c r="H11" s="47">
        <v>50</v>
      </c>
      <c r="I11" s="42"/>
      <c r="J11" s="46"/>
      <c r="K11" s="47"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15.75" thickBot="1" x14ac:dyDescent="0.3">
      <c r="A12" s="45" t="s">
        <v>130</v>
      </c>
      <c r="B12" s="47">
        <f>B17-1</f>
        <v>-1</v>
      </c>
      <c r="C12" s="2"/>
      <c r="D12" s="90" t="s">
        <v>241</v>
      </c>
      <c r="E12" s="80">
        <f>IF('Facility Site Specific Info.'!J67=TRUE,'Facility Site Specific Info.'!I67,0)</f>
        <v>0</v>
      </c>
      <c r="F12" s="39"/>
      <c r="G12" s="40" t="s">
        <v>212</v>
      </c>
      <c r="H12" s="47">
        <v>60</v>
      </c>
      <c r="I12" s="42"/>
      <c r="J12" s="46"/>
      <c r="K12" s="47">
        <v>0</v>
      </c>
      <c r="L12" s="2"/>
      <c r="M12" s="2"/>
      <c r="N12" s="784" t="s">
        <v>215</v>
      </c>
      <c r="O12" s="78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15.75" thickBot="1" x14ac:dyDescent="0.3">
      <c r="A13" s="43" t="s">
        <v>463</v>
      </c>
      <c r="B13" s="44">
        <f>PRODUCT(B12,200)</f>
        <v>-200</v>
      </c>
      <c r="C13" s="2"/>
      <c r="D13" s="85" t="s">
        <v>242</v>
      </c>
      <c r="E13" s="80">
        <f>IF('Facility Site Specific Info.'!J68=TRUE,'Facility Site Specific Info.'!I68,0)</f>
        <v>0</v>
      </c>
      <c r="F13" s="39"/>
      <c r="G13" s="40" t="s">
        <v>214</v>
      </c>
      <c r="H13" s="47">
        <v>50</v>
      </c>
      <c r="I13" s="42"/>
      <c r="J13" s="46"/>
      <c r="K13" s="47">
        <v>0</v>
      </c>
      <c r="L13" s="2"/>
      <c r="M13" s="82" t="s">
        <v>218</v>
      </c>
      <c r="N13" s="82" t="s">
        <v>219</v>
      </c>
      <c r="O13" s="82" t="s">
        <v>220</v>
      </c>
      <c r="P13" s="82" t="s">
        <v>221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15.75" thickBot="1" x14ac:dyDescent="0.3">
      <c r="A14" s="48" t="str">
        <f>"Subtotal Labor for " &amp; 30*'Facility Site Specific Info.'!C78 &amp; " events"</f>
        <v>Subtotal Labor for 0 events</v>
      </c>
      <c r="B14" s="44">
        <f>SUM(B11,B13)*(60)</f>
        <v>21000</v>
      </c>
      <c r="C14" s="2"/>
      <c r="D14" s="85" t="s">
        <v>247</v>
      </c>
      <c r="E14" s="80">
        <f>IF('Facility Site Specific Info.'!J69=TRUE,'Facility Site Specific Info.'!I69,0)</f>
        <v>0</v>
      </c>
      <c r="F14" s="39"/>
      <c r="G14" s="40" t="s">
        <v>217</v>
      </c>
      <c r="H14" s="47">
        <v>60</v>
      </c>
      <c r="I14" s="42"/>
      <c r="J14" s="46"/>
      <c r="K14" s="47">
        <v>0</v>
      </c>
      <c r="L14" s="2"/>
      <c r="M14" s="15" t="s">
        <v>224</v>
      </c>
      <c r="N14" s="83">
        <f>O25</f>
        <v>255000</v>
      </c>
      <c r="O14" s="84">
        <f>B14</f>
        <v>21000</v>
      </c>
      <c r="P14" s="84">
        <f t="shared" ref="P14:P16" si="0">N14-O14</f>
        <v>234000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15.75" thickBot="1" x14ac:dyDescent="0.3">
      <c r="A15" s="49" t="s">
        <v>132</v>
      </c>
      <c r="B15" s="50"/>
      <c r="C15" s="2"/>
      <c r="D15" s="85" t="s">
        <v>248</v>
      </c>
      <c r="E15" s="80">
        <f>IF('Facility Site Specific Info.'!J70=TRUE,'Facility Site Specific Info.'!I70,0)</f>
        <v>0</v>
      </c>
      <c r="F15" s="39"/>
      <c r="G15" s="40" t="s">
        <v>223</v>
      </c>
      <c r="H15" s="47">
        <v>40</v>
      </c>
      <c r="I15" s="42"/>
      <c r="J15" s="46"/>
      <c r="K15" s="47">
        <v>0</v>
      </c>
      <c r="L15" s="2"/>
      <c r="M15" s="15" t="s">
        <v>226</v>
      </c>
      <c r="N15" s="83">
        <f>O26</f>
        <v>210000</v>
      </c>
      <c r="O15" s="538">
        <f>B19</f>
        <v>0</v>
      </c>
      <c r="P15" s="538">
        <f t="shared" si="0"/>
        <v>210000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15.75" thickBot="1" x14ac:dyDescent="0.3">
      <c r="A16" s="43" t="s">
        <v>133</v>
      </c>
      <c r="B16" s="44">
        <f>SUM(E56)</f>
        <v>0</v>
      </c>
      <c r="C16" s="2"/>
      <c r="D16" s="85" t="s">
        <v>249</v>
      </c>
      <c r="E16" s="80">
        <f>IF('Facility Site Specific Info.'!J71=TRUE,'Facility Site Specific Info.'!I71,0)</f>
        <v>0</v>
      </c>
      <c r="F16" s="39"/>
      <c r="G16" s="40" t="s">
        <v>244</v>
      </c>
      <c r="H16" s="47">
        <v>40</v>
      </c>
      <c r="I16" s="42"/>
      <c r="J16" s="46"/>
      <c r="K16" s="47">
        <v>0</v>
      </c>
      <c r="L16" s="2"/>
      <c r="M16" s="15" t="s">
        <v>228</v>
      </c>
      <c r="N16" s="83">
        <f>O27</f>
        <v>300000</v>
      </c>
      <c r="O16" s="538">
        <f>B23</f>
        <v>264000</v>
      </c>
      <c r="P16" s="538">
        <f t="shared" si="0"/>
        <v>36000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5.75" thickBot="1" x14ac:dyDescent="0.3">
      <c r="A17" s="45" t="s">
        <v>135</v>
      </c>
      <c r="B17" s="47">
        <f>'Facility Site Specific Info.'!C75</f>
        <v>0</v>
      </c>
      <c r="C17" s="2"/>
      <c r="D17" s="85" t="s">
        <v>373</v>
      </c>
      <c r="E17" s="80">
        <f>IF('Facility Site Specific Info.'!J72=TRUE,'Facility Site Specific Info.'!I72,0)</f>
        <v>0</v>
      </c>
      <c r="F17" s="39"/>
      <c r="G17" s="40" t="s">
        <v>225</v>
      </c>
      <c r="H17" s="47">
        <v>40</v>
      </c>
      <c r="I17" s="42"/>
      <c r="J17" s="46"/>
      <c r="K17" s="47">
        <v>0</v>
      </c>
      <c r="L17" s="2"/>
      <c r="M17" s="15" t="s">
        <v>229</v>
      </c>
      <c r="N17" s="83">
        <f>N28</f>
        <v>10000</v>
      </c>
      <c r="O17" s="538">
        <f>B27</f>
        <v>0</v>
      </c>
      <c r="P17" s="538">
        <f>N17-O17</f>
        <v>10000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5.75" thickBot="1" x14ac:dyDescent="0.3">
      <c r="A18" s="43" t="s">
        <v>136</v>
      </c>
      <c r="B18" s="16">
        <f>SUM(B17,3)</f>
        <v>3</v>
      </c>
      <c r="C18" s="2"/>
      <c r="D18" s="85" t="s">
        <v>250</v>
      </c>
      <c r="E18" s="80">
        <f>IF('Facility Site Specific Info.'!J73=TRUE,'Facility Site Specific Info.'!I73,0)</f>
        <v>0</v>
      </c>
      <c r="F18" s="39"/>
      <c r="G18" s="40" t="s">
        <v>245</v>
      </c>
      <c r="H18" s="47">
        <v>40</v>
      </c>
      <c r="I18" s="42"/>
      <c r="J18" s="46"/>
      <c r="K18" s="47">
        <v>0</v>
      </c>
      <c r="L18" s="2"/>
      <c r="M18" s="15" t="s">
        <v>294</v>
      </c>
      <c r="N18" s="83">
        <f>O29</f>
        <v>30000</v>
      </c>
      <c r="O18" s="538">
        <f>B29</f>
        <v>0</v>
      </c>
      <c r="P18" s="538">
        <f>N18-O18</f>
        <v>30000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15.75" thickBot="1" x14ac:dyDescent="0.3">
      <c r="A19" s="48" t="str">
        <f>"Subtotal Analytical for " &amp; 30*'Facility Site Specific Info.'!C78 &amp; " events"</f>
        <v>Subtotal Analytical for 0 events</v>
      </c>
      <c r="B19" s="537">
        <f>(B16*B18)*('Facility Site Specific Info.'!C78*30)</f>
        <v>0</v>
      </c>
      <c r="C19" s="2"/>
      <c r="D19" s="85" t="s">
        <v>251</v>
      </c>
      <c r="E19" s="80">
        <f>IF('Facility Site Specific Info.'!J74=TRUE,'Facility Site Specific Info.'!I74,0)</f>
        <v>0</v>
      </c>
      <c r="F19" s="39"/>
      <c r="G19" s="40" t="s">
        <v>227</v>
      </c>
      <c r="H19" s="47">
        <v>40</v>
      </c>
      <c r="I19" s="42"/>
      <c r="J19" s="46"/>
      <c r="K19" s="47">
        <v>0</v>
      </c>
      <c r="L19" s="2"/>
      <c r="M19" s="15" t="s">
        <v>230</v>
      </c>
      <c r="N19" s="84">
        <f>SUM(N14:N18)</f>
        <v>805000</v>
      </c>
      <c r="O19" s="538">
        <f>SUM(O14:O18)</f>
        <v>285000</v>
      </c>
      <c r="P19" s="538">
        <f>N19-O19</f>
        <v>520000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15.75" thickBot="1" x14ac:dyDescent="0.3">
      <c r="A20" s="52" t="s">
        <v>93</v>
      </c>
      <c r="B20" s="50"/>
      <c r="C20" s="2"/>
      <c r="D20" s="85" t="s">
        <v>252</v>
      </c>
      <c r="E20" s="80">
        <f>IF('Facility Site Specific Info.'!J75=TRUE,'Facility Site Specific Info.'!I75,0)</f>
        <v>0</v>
      </c>
      <c r="F20" s="39"/>
      <c r="G20" s="40"/>
      <c r="H20" s="47"/>
      <c r="I20" s="42"/>
      <c r="J20" s="46"/>
      <c r="K20" s="47">
        <v>0</v>
      </c>
      <c r="L20" s="2"/>
      <c r="M20" s="15" t="s">
        <v>231</v>
      </c>
      <c r="N20" s="84">
        <f>N19/30</f>
        <v>26833.333333333332</v>
      </c>
      <c r="O20" s="538">
        <f>B30</f>
        <v>0</v>
      </c>
      <c r="P20" s="538">
        <f>N20-O20</f>
        <v>26833.333333333332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15.75" thickBot="1" x14ac:dyDescent="0.3">
      <c r="A21" s="43" t="s">
        <v>137</v>
      </c>
      <c r="B21" s="44">
        <v>4400</v>
      </c>
      <c r="C21" s="2"/>
      <c r="D21" s="85" t="s">
        <v>213</v>
      </c>
      <c r="E21" s="80">
        <f>IF('Facility Site Specific Info.'!J76=TRUE,'Facility Site Specific Info.'!I76,0)</f>
        <v>0</v>
      </c>
      <c r="F21" s="39"/>
      <c r="G21" s="40"/>
      <c r="H21" s="47"/>
      <c r="I21" s="42"/>
      <c r="J21" s="46"/>
      <c r="K21" s="47">
        <v>0</v>
      </c>
      <c r="L21" s="2"/>
      <c r="M21" s="2"/>
      <c r="N21" s="2"/>
      <c r="O21" s="2"/>
      <c r="P21" s="2" t="s">
        <v>5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15.75" thickBot="1" x14ac:dyDescent="0.3">
      <c r="A22" s="43" t="s">
        <v>138</v>
      </c>
      <c r="B22" s="44">
        <f>PRODUCT(B21,60)</f>
        <v>264000</v>
      </c>
      <c r="C22" s="2"/>
      <c r="D22" s="85" t="s">
        <v>253</v>
      </c>
      <c r="E22" s="80">
        <f>IF('Facility Site Specific Info.'!J77=TRUE,'Facility Site Specific Info.'!I77,0)</f>
        <v>0</v>
      </c>
      <c r="F22" s="39"/>
      <c r="G22" s="46"/>
      <c r="H22" s="47"/>
      <c r="I22" s="42"/>
      <c r="J22" s="46"/>
      <c r="K22" s="47"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15.75" thickBot="1" x14ac:dyDescent="0.3">
      <c r="A23" s="48" t="s">
        <v>139</v>
      </c>
      <c r="B23" s="44">
        <f>SUM(B22)</f>
        <v>264000</v>
      </c>
      <c r="C23" s="2"/>
      <c r="D23" s="85" t="s">
        <v>254</v>
      </c>
      <c r="E23" s="80">
        <f>IF('Facility Site Specific Info.'!J78=TRUE,'Facility Site Specific Info.'!I78,0)</f>
        <v>0</v>
      </c>
      <c r="F23" s="39"/>
      <c r="G23" s="46"/>
      <c r="H23" s="47"/>
      <c r="I23" s="42"/>
      <c r="J23" s="46"/>
      <c r="K23" s="47">
        <v>0</v>
      </c>
      <c r="L23" s="2"/>
      <c r="M23" s="2"/>
      <c r="N23" s="2" t="s">
        <v>232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15.75" thickBot="1" x14ac:dyDescent="0.3">
      <c r="A24" s="52" t="s">
        <v>140</v>
      </c>
      <c r="B24" s="50"/>
      <c r="C24" s="2"/>
      <c r="D24" s="85" t="s">
        <v>238</v>
      </c>
      <c r="E24" s="80">
        <f>IF('Facility Site Specific Info.'!J79=TRUE,'Facility Site Specific Info.'!I79,0)</f>
        <v>0</v>
      </c>
      <c r="F24" s="39"/>
      <c r="G24" s="46"/>
      <c r="H24" s="47"/>
      <c r="I24" s="42"/>
      <c r="J24" s="46"/>
      <c r="K24" s="47">
        <v>0</v>
      </c>
      <c r="L24" s="2"/>
      <c r="M24" s="82" t="s">
        <v>218</v>
      </c>
      <c r="N24" s="82" t="s">
        <v>233</v>
      </c>
      <c r="O24" s="82" t="s">
        <v>234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5.75" thickBot="1" x14ac:dyDescent="0.3">
      <c r="A25" s="43" t="s">
        <v>141</v>
      </c>
      <c r="B25" s="44">
        <v>85</v>
      </c>
      <c r="C25" s="2"/>
      <c r="D25" s="86" t="s">
        <v>216</v>
      </c>
      <c r="E25" s="80">
        <f>IF('Facility Site Specific Info.'!J80=TRUE,'Facility Site Specific Info.'!I80,0)</f>
        <v>0</v>
      </c>
      <c r="F25" s="39"/>
      <c r="G25" s="46"/>
      <c r="H25" s="47"/>
      <c r="I25" s="42"/>
      <c r="J25" s="46"/>
      <c r="K25" s="47">
        <v>0</v>
      </c>
      <c r="L25" s="2"/>
      <c r="M25" s="15" t="s">
        <v>224</v>
      </c>
      <c r="N25" s="83">
        <v>8500</v>
      </c>
      <c r="O25" s="84">
        <f>N25*30</f>
        <v>255000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5.75" thickBot="1" x14ac:dyDescent="0.3">
      <c r="A26" s="43" t="s">
        <v>142</v>
      </c>
      <c r="B26" s="16">
        <f>'Facility Site Specific Info.'!C76</f>
        <v>0</v>
      </c>
      <c r="C26" s="2"/>
      <c r="D26" s="85" t="s">
        <v>222</v>
      </c>
      <c r="E26" s="80">
        <f>IF('Facility Site Specific Info.'!J81=TRUE,'Facility Site Specific Info.'!I81,0)</f>
        <v>0</v>
      </c>
      <c r="F26" s="39"/>
      <c r="G26" s="46"/>
      <c r="H26" s="47"/>
      <c r="I26" s="42"/>
      <c r="J26" s="46"/>
      <c r="K26" s="47">
        <v>0</v>
      </c>
      <c r="L26" s="2"/>
      <c r="M26" s="15" t="s">
        <v>226</v>
      </c>
      <c r="N26" s="83">
        <v>7000</v>
      </c>
      <c r="O26" s="84">
        <f>N26*30</f>
        <v>210000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15.75" thickBot="1" x14ac:dyDescent="0.3">
      <c r="A27" s="53" t="s">
        <v>143</v>
      </c>
      <c r="B27" s="54">
        <f>PRODUCT(B25:B26)</f>
        <v>0</v>
      </c>
      <c r="C27" s="2"/>
      <c r="D27" s="85" t="s">
        <v>255</v>
      </c>
      <c r="E27" s="80">
        <f>IF('Facility Site Specific Info.'!J82=TRUE,'Facility Site Specific Info.'!I82,0)</f>
        <v>0</v>
      </c>
      <c r="F27" s="39"/>
      <c r="G27" s="46"/>
      <c r="H27" s="47"/>
      <c r="I27" s="42"/>
      <c r="J27" s="46"/>
      <c r="K27" s="47">
        <v>0</v>
      </c>
      <c r="L27" s="2"/>
      <c r="M27" s="15" t="s">
        <v>228</v>
      </c>
      <c r="N27" s="83">
        <v>10000</v>
      </c>
      <c r="O27" s="84">
        <f>N27*30</f>
        <v>300000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15.75" thickBot="1" x14ac:dyDescent="0.3">
      <c r="A28" s="55" t="s">
        <v>144</v>
      </c>
      <c r="B28" s="50"/>
      <c r="C28" s="2"/>
      <c r="D28" s="85" t="s">
        <v>131</v>
      </c>
      <c r="E28" s="80">
        <f>IF('Facility Site Specific Info.'!J83=TRUE,'Facility Site Specific Info.'!I83,0)</f>
        <v>0</v>
      </c>
      <c r="F28" s="39"/>
      <c r="G28" s="46"/>
      <c r="H28" s="47"/>
      <c r="I28" s="42"/>
      <c r="J28" s="46"/>
      <c r="K28" s="47">
        <v>0</v>
      </c>
      <c r="L28" s="2"/>
      <c r="M28" s="15" t="s">
        <v>229</v>
      </c>
      <c r="N28" s="83">
        <v>10000</v>
      </c>
      <c r="O28" s="15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15.75" thickBot="1" x14ac:dyDescent="0.3">
      <c r="A29" s="56" t="s">
        <v>145</v>
      </c>
      <c r="B29" s="51">
        <f>'Geology Well Maintenance'!F20</f>
        <v>0</v>
      </c>
      <c r="C29" s="2"/>
      <c r="D29" s="85" t="s">
        <v>256</v>
      </c>
      <c r="E29" s="80">
        <f>IF('Facility Site Specific Info.'!J84=TRUE,'Facility Site Specific Info.'!I84,0)</f>
        <v>0</v>
      </c>
      <c r="F29" s="39"/>
      <c r="G29" s="46"/>
      <c r="H29" s="47"/>
      <c r="I29" s="42"/>
      <c r="J29" s="46"/>
      <c r="K29" s="47">
        <v>0</v>
      </c>
      <c r="L29" s="2"/>
      <c r="M29" s="15" t="s">
        <v>293</v>
      </c>
      <c r="N29" s="83">
        <v>1000</v>
      </c>
      <c r="O29" s="84">
        <f>N29*30</f>
        <v>30000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15.75" thickBot="1" x14ac:dyDescent="0.3">
      <c r="A30" s="57" t="s">
        <v>146</v>
      </c>
      <c r="B30" s="58">
        <f>B31/30</f>
        <v>0</v>
      </c>
      <c r="C30" s="2"/>
      <c r="D30" s="85" t="s">
        <v>257</v>
      </c>
      <c r="E30" s="80">
        <f>IF('Facility Site Specific Info.'!J85=TRUE,'Facility Site Specific Info.'!I85,0)</f>
        <v>0</v>
      </c>
      <c r="F30" s="39"/>
      <c r="G30" s="46"/>
      <c r="H30" s="47"/>
      <c r="I30" s="42"/>
      <c r="J30" s="46"/>
      <c r="K30" s="47"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5.75" thickBot="1" x14ac:dyDescent="0.3">
      <c r="A31" s="59" t="s">
        <v>147</v>
      </c>
      <c r="B31" s="60">
        <f>IF('Facility Site Specific Info.'!C75=0,0,SUM(B14,B19,B23,B27,B29))</f>
        <v>0</v>
      </c>
      <c r="C31" s="2"/>
      <c r="D31" s="85" t="s">
        <v>258</v>
      </c>
      <c r="E31" s="80">
        <f>IF('Facility Site Specific Info.'!J86=TRUE,'Facility Site Specific Info.'!I86,0)</f>
        <v>0</v>
      </c>
      <c r="F31" s="39"/>
      <c r="G31" s="46"/>
      <c r="H31" s="47"/>
      <c r="I31" s="42"/>
      <c r="J31" s="46"/>
      <c r="K31" s="47"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C32" s="2"/>
      <c r="D32" s="85" t="s">
        <v>236</v>
      </c>
      <c r="E32" s="81">
        <f>IF('Facility Site Specific Info.'!N65=TRUE,'Facility Site Specific Info.'!M65,0)</f>
        <v>0</v>
      </c>
      <c r="F32" s="39"/>
      <c r="G32" s="46"/>
      <c r="H32" s="47"/>
      <c r="I32" s="42"/>
      <c r="J32" s="46"/>
      <c r="K32" s="47"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2"/>
      <c r="B33" s="2"/>
      <c r="C33" s="2"/>
      <c r="D33" s="85" t="s">
        <v>237</v>
      </c>
      <c r="E33" s="81">
        <f>IF('Facility Site Specific Info.'!N66=TRUE,'Facility Site Specific Info.'!M66,0)</f>
        <v>0</v>
      </c>
      <c r="F33" s="39"/>
      <c r="G33" s="46"/>
      <c r="H33" s="47"/>
      <c r="I33" s="42"/>
      <c r="J33" s="46"/>
      <c r="K33" s="47"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15.75" x14ac:dyDescent="0.3">
      <c r="A34" s="61" t="s">
        <v>148</v>
      </c>
      <c r="B34" s="2" t="s">
        <v>149</v>
      </c>
      <c r="C34" s="2"/>
      <c r="D34" s="86" t="s">
        <v>259</v>
      </c>
      <c r="E34" s="81">
        <f>IF('Facility Site Specific Info.'!N67=TRUE,'Facility Site Specific Info.'!M67,0)</f>
        <v>0</v>
      </c>
      <c r="F34" s="39"/>
      <c r="G34" s="46"/>
      <c r="H34" s="47"/>
      <c r="I34" s="42"/>
      <c r="J34" s="46"/>
      <c r="K34" s="47"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15.75" x14ac:dyDescent="0.3">
      <c r="A35" s="61"/>
      <c r="B35" s="2" t="s">
        <v>150</v>
      </c>
      <c r="C35" s="2"/>
      <c r="D35" s="85" t="s">
        <v>260</v>
      </c>
      <c r="E35" s="81">
        <f>IF('Facility Site Specific Info.'!N68=TRUE,'Facility Site Specific Info.'!M68,0)</f>
        <v>0</v>
      </c>
      <c r="F35" s="39"/>
      <c r="G35" s="46"/>
      <c r="H35" s="47"/>
      <c r="I35" s="42"/>
      <c r="J35" s="46"/>
      <c r="K35" s="47"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15.75" x14ac:dyDescent="0.3">
      <c r="A36" s="61" t="s">
        <v>151</v>
      </c>
      <c r="B36" s="2" t="s">
        <v>152</v>
      </c>
      <c r="C36" s="2"/>
      <c r="D36" s="87" t="s">
        <v>129</v>
      </c>
      <c r="E36" s="81">
        <f>IF('Facility Site Specific Info.'!N69=TRUE,'Facility Site Specific Info.'!M69,0)</f>
        <v>0</v>
      </c>
      <c r="F36" s="39"/>
      <c r="G36" s="46"/>
      <c r="H36" s="47"/>
      <c r="I36" s="42"/>
      <c r="J36" s="46"/>
      <c r="K36" s="47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5.75" x14ac:dyDescent="0.3">
      <c r="A37" s="2"/>
      <c r="B37" s="2" t="s">
        <v>153</v>
      </c>
      <c r="C37" s="2"/>
      <c r="D37" s="87" t="s">
        <v>134</v>
      </c>
      <c r="E37" s="81">
        <f>IF('Facility Site Specific Info.'!N70=TRUE,'Facility Site Specific Info.'!M70,0)</f>
        <v>0</v>
      </c>
      <c r="F37" s="39"/>
      <c r="G37" s="46"/>
      <c r="H37" s="47"/>
      <c r="I37" s="42"/>
      <c r="J37" s="46"/>
      <c r="K37" s="47"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10"/>
      <c r="B38" s="10"/>
      <c r="C38" s="2"/>
      <c r="D38" s="305" t="s">
        <v>261</v>
      </c>
      <c r="E38" s="81">
        <f>IF('Facility Site Specific Info.'!N71=TRUE,'Facility Site Specific Info.'!M71,0)</f>
        <v>0</v>
      </c>
      <c r="F38" s="42"/>
      <c r="G38" s="46"/>
      <c r="H38" s="47"/>
      <c r="I38" s="42"/>
      <c r="J38" s="46"/>
      <c r="K38" s="47">
        <v>0</v>
      </c>
      <c r="L38" s="2"/>
      <c r="M38" s="5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62"/>
      <c r="B39" s="63"/>
      <c r="C39" s="2"/>
      <c r="D39" s="85" t="s">
        <v>235</v>
      </c>
      <c r="E39" s="81">
        <f>IF('Facility Site Specific Info.'!N72=TRUE,'Facility Site Specific Info.'!M72,0)</f>
        <v>0</v>
      </c>
      <c r="F39" s="42"/>
      <c r="G39" s="46"/>
      <c r="H39" s="47"/>
      <c r="I39" s="42"/>
      <c r="J39" s="46"/>
      <c r="K39" s="47"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64"/>
      <c r="B40" s="65"/>
      <c r="C40" s="2"/>
      <c r="D40" s="85" t="s">
        <v>262</v>
      </c>
      <c r="E40" s="81">
        <f>IF('Facility Site Specific Info.'!N73=TRUE,'Facility Site Specific Info.'!M73,0)</f>
        <v>0</v>
      </c>
      <c r="F40" s="42"/>
      <c r="G40" s="46"/>
      <c r="H40" s="47"/>
      <c r="I40" s="42"/>
      <c r="J40" s="46"/>
      <c r="K40" s="47"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10"/>
      <c r="B41" s="66"/>
      <c r="C41" s="2"/>
      <c r="D41" s="85" t="s">
        <v>263</v>
      </c>
      <c r="E41" s="81">
        <f>IF('Facility Site Specific Info.'!N74=TRUE,'Facility Site Specific Info.'!M74,0)</f>
        <v>0</v>
      </c>
      <c r="F41" s="42"/>
      <c r="G41" s="46"/>
      <c r="H41" s="47"/>
      <c r="I41" s="42"/>
      <c r="J41" s="46"/>
      <c r="K41" s="47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10"/>
      <c r="B42" s="10"/>
      <c r="C42" s="2"/>
      <c r="D42" s="85" t="s">
        <v>264</v>
      </c>
      <c r="E42" s="81">
        <f>IF('Facility Site Specific Info.'!N75=TRUE,'Facility Site Specific Info.'!M75,0)</f>
        <v>0</v>
      </c>
      <c r="F42" s="42"/>
      <c r="G42" s="46"/>
      <c r="H42" s="47"/>
      <c r="I42" s="42"/>
      <c r="J42" s="46"/>
      <c r="K42" s="47"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5.75" thickBot="1" x14ac:dyDescent="0.3">
      <c r="A43" s="67" t="s">
        <v>154</v>
      </c>
      <c r="B43" s="2"/>
      <c r="C43" s="2"/>
      <c r="D43" s="85" t="s">
        <v>265</v>
      </c>
      <c r="E43" s="81">
        <f>IF('Facility Site Specific Info.'!N76=TRUE,'Facility Site Specific Info.'!M76,0)</f>
        <v>0</v>
      </c>
      <c r="F43" s="42"/>
      <c r="G43" s="68"/>
      <c r="H43" s="69"/>
      <c r="I43" s="42"/>
      <c r="J43" s="68"/>
      <c r="K43" s="69"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5.75" thickBot="1" x14ac:dyDescent="0.3">
      <c r="A44" s="2"/>
      <c r="B44" s="2"/>
      <c r="C44" s="2"/>
      <c r="D44" s="88" t="s">
        <v>266</v>
      </c>
      <c r="E44" s="81">
        <f>IF('Facility Site Specific Info.'!N77=TRUE,'Facility Site Specific Info.'!M77,0)</f>
        <v>0</v>
      </c>
      <c r="F44" s="2"/>
      <c r="G44" s="72" t="s">
        <v>155</v>
      </c>
      <c r="H44" s="73">
        <f>SUM(H10:H43)</f>
        <v>460</v>
      </c>
      <c r="I44" s="2"/>
      <c r="J44" s="72" t="s">
        <v>155</v>
      </c>
      <c r="K44" s="73">
        <f>SUM(K10:K43)</f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D45" s="88" t="s">
        <v>267</v>
      </c>
      <c r="E45" s="81">
        <f>IF('Facility Site Specific Info.'!N78=TRUE,'Facility Site Specific Info.'!M78,0)</f>
        <v>0</v>
      </c>
      <c r="M45" s="2"/>
      <c r="N45" s="2"/>
      <c r="O45" s="2"/>
      <c r="P45" s="2"/>
    </row>
    <row r="46" spans="1:31" x14ac:dyDescent="0.25">
      <c r="D46" s="88" t="s">
        <v>268</v>
      </c>
      <c r="E46" s="81">
        <f>IF('Facility Site Specific Info.'!N79=TRUE,'Facility Site Specific Info.'!M79,0)</f>
        <v>0</v>
      </c>
    </row>
    <row r="47" spans="1:31" x14ac:dyDescent="0.25">
      <c r="D47" s="88" t="s">
        <v>269</v>
      </c>
      <c r="E47" s="81">
        <f>IF('Facility Site Specific Info.'!N80=TRUE,'Facility Site Specific Info.'!M80,0)</f>
        <v>0</v>
      </c>
    </row>
    <row r="48" spans="1:31" x14ac:dyDescent="0.25">
      <c r="D48" s="91" t="s">
        <v>270</v>
      </c>
      <c r="E48" s="81">
        <f>IF('Facility Site Specific Info.'!N81=TRUE,'Facility Site Specific Info.'!M81,0)</f>
        <v>0</v>
      </c>
    </row>
    <row r="49" spans="4:5" x14ac:dyDescent="0.25">
      <c r="D49" s="88" t="s">
        <v>271</v>
      </c>
      <c r="E49" s="81">
        <f>IF('Facility Site Specific Info.'!N82=TRUE,'Facility Site Specific Info.'!M82,0)</f>
        <v>0</v>
      </c>
    </row>
    <row r="50" spans="4:5" x14ac:dyDescent="0.25">
      <c r="D50" s="88" t="s">
        <v>272</v>
      </c>
      <c r="E50" s="81">
        <f>IF('Facility Site Specific Info.'!N83=TRUE,'Facility Site Specific Info.'!M83,0)</f>
        <v>0</v>
      </c>
    </row>
    <row r="51" spans="4:5" x14ac:dyDescent="0.25">
      <c r="D51" s="88" t="s">
        <v>273</v>
      </c>
      <c r="E51" s="81">
        <f>IF('Facility Site Specific Info.'!N84=TRUE,'Facility Site Specific Info.'!M84,0)</f>
        <v>0</v>
      </c>
    </row>
    <row r="52" spans="4:5" x14ac:dyDescent="0.25">
      <c r="D52" s="88" t="s">
        <v>274</v>
      </c>
      <c r="E52" s="81">
        <f>IF('Facility Site Specific Info.'!N85=TRUE,'Facility Site Specific Info.'!M85,0)</f>
        <v>0</v>
      </c>
    </row>
    <row r="53" spans="4:5" s="2" customFormat="1" x14ac:dyDescent="0.25">
      <c r="D53" s="88" t="s">
        <v>462</v>
      </c>
      <c r="E53" s="81">
        <f>IF('Facility Site Specific Info.'!N86=TRUE,'Facility Site Specific Info.'!M86,0)</f>
        <v>0</v>
      </c>
    </row>
    <row r="54" spans="4:5" s="2" customFormat="1" ht="24.75" x14ac:dyDescent="0.25">
      <c r="D54" s="705" t="s">
        <v>464</v>
      </c>
      <c r="E54" s="81">
        <f>IF('Facility Site Specific Info.'!N87=TRUE,'Facility Site Specific Info.'!M87,0)</f>
        <v>0</v>
      </c>
    </row>
    <row r="55" spans="4:5" s="2" customFormat="1" ht="25.5" x14ac:dyDescent="0.25">
      <c r="D55" s="707" t="s">
        <v>465</v>
      </c>
      <c r="E55" s="81">
        <f>IF('Facility Site Specific Info.'!N88=TRUE,'Facility Site Specific Info.'!M88,0)</f>
        <v>0</v>
      </c>
    </row>
    <row r="56" spans="4:5" ht="15.75" thickBot="1" x14ac:dyDescent="0.3">
      <c r="D56" s="70" t="s">
        <v>133</v>
      </c>
      <c r="E56" s="71">
        <f>SUM(E10:E52)</f>
        <v>0</v>
      </c>
    </row>
  </sheetData>
  <mergeCells count="10">
    <mergeCell ref="D9:E9"/>
    <mergeCell ref="M9:AE9"/>
    <mergeCell ref="N12:O12"/>
    <mergeCell ref="B1:D1"/>
    <mergeCell ref="B2:D2"/>
    <mergeCell ref="B3:D3"/>
    <mergeCell ref="B4:D4"/>
    <mergeCell ref="B5:D5"/>
    <mergeCell ref="B6:D6"/>
    <mergeCell ref="A8:K8"/>
  </mergeCells>
  <pageMargins left="0.7" right="0.7" top="0.75" bottom="0.75" header="0.3" footer="0.3"/>
  <pageSetup scale="97" orientation="portrait" r:id="rId1"/>
  <colBreaks count="2" manualBreakCount="2">
    <brk id="5" max="1048575" man="1"/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/>
  </sheetPr>
  <dimension ref="A1:X20"/>
  <sheetViews>
    <sheetView topLeftCell="A13" workbookViewId="0"/>
  </sheetViews>
  <sheetFormatPr defaultRowHeight="15" x14ac:dyDescent="0.25"/>
  <cols>
    <col min="1" max="1" width="27.5703125" customWidth="1"/>
    <col min="2" max="2" width="21" customWidth="1"/>
    <col min="3" max="3" width="23.140625" customWidth="1"/>
    <col min="4" max="4" width="29.42578125" customWidth="1"/>
    <col min="5" max="5" width="25.140625" bestFit="1" customWidth="1"/>
    <col min="6" max="6" width="16.7109375" customWidth="1"/>
  </cols>
  <sheetData>
    <row r="1" spans="1:24" s="2" customFormat="1" ht="15" customHeight="1" x14ac:dyDescent="0.25">
      <c r="A1" s="114" t="s">
        <v>106</v>
      </c>
      <c r="B1" s="756">
        <f>'Facility Site Specific Info.'!C4</f>
        <v>0</v>
      </c>
      <c r="C1" s="756"/>
      <c r="D1" s="756"/>
      <c r="E1" s="93"/>
      <c r="F1" s="10"/>
      <c r="G1" s="10"/>
      <c r="H1" s="10"/>
      <c r="I1" s="10"/>
      <c r="J1" s="10"/>
    </row>
    <row r="2" spans="1:24" s="2" customFormat="1" ht="15" customHeight="1" x14ac:dyDescent="0.25">
      <c r="A2" s="114" t="s">
        <v>194</v>
      </c>
      <c r="B2" s="757">
        <f>'Facility Site Specific Info.'!C5</f>
        <v>0</v>
      </c>
      <c r="C2" s="757"/>
      <c r="D2" s="757"/>
      <c r="E2" s="93"/>
      <c r="F2" s="10"/>
      <c r="G2" s="10"/>
      <c r="H2" s="10"/>
      <c r="I2" s="10"/>
      <c r="J2" s="10"/>
    </row>
    <row r="3" spans="1:24" s="2" customFormat="1" ht="15" customHeight="1" x14ac:dyDescent="0.25">
      <c r="A3" s="114" t="s">
        <v>181</v>
      </c>
      <c r="B3" s="758">
        <f>'Facility Site Specific Info.'!C6</f>
        <v>0</v>
      </c>
      <c r="C3" s="758"/>
      <c r="D3" s="758"/>
      <c r="E3" s="93"/>
      <c r="F3" s="10"/>
      <c r="G3" s="10"/>
      <c r="H3" s="10"/>
      <c r="I3" s="10"/>
      <c r="J3" s="10"/>
    </row>
    <row r="4" spans="1:24" s="2" customFormat="1" ht="15" customHeight="1" x14ac:dyDescent="0.25">
      <c r="A4" s="114" t="s">
        <v>108</v>
      </c>
      <c r="B4" s="758">
        <f>'Facility Site Specific Info.'!C7</f>
        <v>0</v>
      </c>
      <c r="C4" s="758"/>
      <c r="D4" s="758"/>
      <c r="E4" s="93"/>
      <c r="F4" s="10"/>
      <c r="G4" s="10"/>
      <c r="H4" s="10"/>
      <c r="I4" s="10"/>
      <c r="J4" s="10"/>
    </row>
    <row r="5" spans="1:24" s="2" customFormat="1" ht="15" customHeight="1" x14ac:dyDescent="0.25">
      <c r="A5" s="114" t="s">
        <v>182</v>
      </c>
      <c r="B5" s="757">
        <f>'Facility Site Specific Info.'!C8</f>
        <v>0</v>
      </c>
      <c r="C5" s="757"/>
      <c r="D5" s="757"/>
      <c r="E5" s="93"/>
      <c r="F5" s="10"/>
      <c r="G5" s="10"/>
      <c r="H5" s="10"/>
      <c r="I5" s="10"/>
      <c r="J5" s="10"/>
    </row>
    <row r="6" spans="1:24" s="2" customFormat="1" ht="15" customHeight="1" x14ac:dyDescent="0.25">
      <c r="A6" s="114" t="s">
        <v>107</v>
      </c>
      <c r="B6" s="752">
        <f>'Facility Site Specific Info.'!C9</f>
        <v>0</v>
      </c>
      <c r="C6" s="752"/>
      <c r="D6" s="752"/>
      <c r="E6" s="93"/>
      <c r="F6" s="10"/>
      <c r="G6" s="10"/>
      <c r="H6" s="10"/>
      <c r="I6" s="10"/>
      <c r="J6" s="10"/>
    </row>
    <row r="7" spans="1:24" s="2" customFormat="1" ht="15" customHeight="1" thickBot="1" x14ac:dyDescent="0.3">
      <c r="A7" s="98"/>
      <c r="B7" s="98"/>
      <c r="C7" s="98"/>
      <c r="D7" s="93"/>
      <c r="E7" s="10"/>
      <c r="F7" s="10"/>
      <c r="G7" s="10"/>
      <c r="H7" s="10"/>
      <c r="I7" s="10"/>
    </row>
    <row r="8" spans="1:24" s="2" customFormat="1" ht="33" customHeight="1" thickTop="1" thickBot="1" x14ac:dyDescent="0.3">
      <c r="A8" s="785" t="s">
        <v>461</v>
      </c>
      <c r="B8" s="786"/>
      <c r="C8" s="786"/>
      <c r="D8" s="786"/>
      <c r="E8" s="786"/>
      <c r="F8" s="787"/>
      <c r="G8" s="698"/>
      <c r="H8" s="698"/>
      <c r="I8" s="698"/>
      <c r="J8" s="698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s="2" customFormat="1" ht="16.5" thickTop="1" thickBot="1" x14ac:dyDescent="0.3"/>
    <row r="10" spans="1:24" s="2" customFormat="1" ht="29.25" thickBot="1" x14ac:dyDescent="0.5">
      <c r="A10" s="788" t="s">
        <v>335</v>
      </c>
      <c r="B10" s="789"/>
      <c r="C10" s="789"/>
      <c r="D10" s="789"/>
      <c r="E10" s="789"/>
      <c r="F10" s="790"/>
    </row>
    <row r="11" spans="1:24" ht="33" customHeight="1" thickBot="1" x14ac:dyDescent="0.4">
      <c r="A11" s="266" t="s">
        <v>275</v>
      </c>
      <c r="B11" s="266" t="s">
        <v>276</v>
      </c>
      <c r="C11" s="266" t="s">
        <v>277</v>
      </c>
      <c r="D11" s="266" t="s">
        <v>278</v>
      </c>
      <c r="E11" s="266" t="s">
        <v>279</v>
      </c>
      <c r="F11" s="266" t="s">
        <v>280</v>
      </c>
    </row>
    <row r="12" spans="1:24" ht="45" x14ac:dyDescent="0.25">
      <c r="A12" s="699" t="s">
        <v>156</v>
      </c>
      <c r="B12" s="700">
        <v>50</v>
      </c>
      <c r="C12" s="699" t="s">
        <v>281</v>
      </c>
      <c r="D12" s="701">
        <f>'Facility Site Specific Info.'!C75</f>
        <v>0</v>
      </c>
      <c r="E12" s="699" t="s">
        <v>282</v>
      </c>
      <c r="F12" s="703">
        <f>(D12*50)*3</f>
        <v>0</v>
      </c>
    </row>
    <row r="13" spans="1:24" ht="60" x14ac:dyDescent="0.25">
      <c r="A13" s="699" t="s">
        <v>157</v>
      </c>
      <c r="B13" s="700">
        <v>40</v>
      </c>
      <c r="C13" s="699" t="s">
        <v>281</v>
      </c>
      <c r="D13" s="701">
        <f>'Facility Site Specific Info.'!C75</f>
        <v>0</v>
      </c>
      <c r="E13" s="699" t="s">
        <v>283</v>
      </c>
      <c r="F13" s="703">
        <f>((40*D13)*3)+480</f>
        <v>480</v>
      </c>
    </row>
    <row r="14" spans="1:24" ht="75" x14ac:dyDescent="0.25">
      <c r="A14" s="699" t="s">
        <v>158</v>
      </c>
      <c r="B14" s="700">
        <v>135</v>
      </c>
      <c r="C14" s="699" t="s">
        <v>284</v>
      </c>
      <c r="D14" s="701">
        <f>'Facility Site Specific Info.'!C75</f>
        <v>0</v>
      </c>
      <c r="E14" s="699" t="s">
        <v>285</v>
      </c>
      <c r="F14" s="703">
        <f>(135*D14)+480+180</f>
        <v>660</v>
      </c>
    </row>
    <row r="15" spans="1:24" ht="75" x14ac:dyDescent="0.25">
      <c r="A15" s="699" t="s">
        <v>159</v>
      </c>
      <c r="B15" s="700">
        <v>500</v>
      </c>
      <c r="C15" s="699" t="s">
        <v>284</v>
      </c>
      <c r="D15" s="701">
        <f>'Facility Site Specific Info.'!C75</f>
        <v>0</v>
      </c>
      <c r="E15" s="699" t="s">
        <v>285</v>
      </c>
      <c r="F15" s="703">
        <f>(500*D15)+480+180</f>
        <v>660</v>
      </c>
    </row>
    <row r="16" spans="1:24" ht="75" x14ac:dyDescent="0.25">
      <c r="A16" s="699" t="s">
        <v>160</v>
      </c>
      <c r="B16" s="700">
        <v>240</v>
      </c>
      <c r="C16" s="699" t="s">
        <v>286</v>
      </c>
      <c r="D16" s="701">
        <f>'Facility Site Specific Info.'!C75</f>
        <v>0</v>
      </c>
      <c r="E16" s="699" t="s">
        <v>285</v>
      </c>
      <c r="F16" s="703">
        <f>((240*D16)*2)+480+180</f>
        <v>660</v>
      </c>
    </row>
    <row r="17" spans="1:6" ht="75" x14ac:dyDescent="0.25">
      <c r="A17" s="699" t="s">
        <v>161</v>
      </c>
      <c r="B17" s="700">
        <v>800</v>
      </c>
      <c r="C17" s="699" t="s">
        <v>287</v>
      </c>
      <c r="D17" s="701">
        <f>'Facility Site Specific Info.'!C75</f>
        <v>0</v>
      </c>
      <c r="E17" s="699" t="s">
        <v>288</v>
      </c>
      <c r="F17" s="703">
        <f>((800*D17)*3)+720+180</f>
        <v>900</v>
      </c>
    </row>
    <row r="18" spans="1:6" ht="45" x14ac:dyDescent="0.25">
      <c r="A18" s="699" t="s">
        <v>289</v>
      </c>
      <c r="B18" s="700">
        <v>3500</v>
      </c>
      <c r="C18" s="699" t="s">
        <v>290</v>
      </c>
      <c r="D18" s="701">
        <f>'Facility Site Specific Info.'!C75/2</f>
        <v>0</v>
      </c>
      <c r="E18" s="699" t="s">
        <v>291</v>
      </c>
      <c r="F18" s="703">
        <f>(3500+2800)*D18</f>
        <v>0</v>
      </c>
    </row>
    <row r="19" spans="1:6" x14ac:dyDescent="0.25">
      <c r="A19" s="14"/>
      <c r="B19" s="2"/>
      <c r="C19" s="14"/>
      <c r="D19" s="14"/>
      <c r="E19" s="268"/>
      <c r="F19" s="267"/>
    </row>
    <row r="20" spans="1:6" x14ac:dyDescent="0.25">
      <c r="A20" s="14"/>
      <c r="B20" s="2"/>
      <c r="C20" s="14"/>
      <c r="D20" s="14"/>
      <c r="E20" s="704" t="s">
        <v>292</v>
      </c>
      <c r="F20" s="702">
        <f>IF('Facility Site Specific Info.'!C75=0,0,SUM(F12:F18))</f>
        <v>0</v>
      </c>
    </row>
  </sheetData>
  <mergeCells count="8">
    <mergeCell ref="A10:F10"/>
    <mergeCell ref="B6:D6"/>
    <mergeCell ref="A8:F8"/>
    <mergeCell ref="B1:D1"/>
    <mergeCell ref="B2:D2"/>
    <mergeCell ref="B3:D3"/>
    <mergeCell ref="B4:D4"/>
    <mergeCell ref="B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Facility Site Specific Info.</vt:lpstr>
      <vt:lpstr>Type I-II Landfill Closure</vt:lpstr>
      <vt:lpstr>Type I-II Landfill Post-Closure</vt:lpstr>
      <vt:lpstr>Surface Imp. Closure</vt:lpstr>
      <vt:lpstr>Surface Imp. Post-Closure</vt:lpstr>
      <vt:lpstr>Type III Closure</vt:lpstr>
      <vt:lpstr>Type III Post-Closure</vt:lpstr>
      <vt:lpstr>Geology Closure &amp; Post-Closure</vt:lpstr>
      <vt:lpstr>Geology Well Maintenance</vt:lpstr>
      <vt:lpstr>DATA</vt:lpstr>
      <vt:lpstr>'Facility Site Specific Info.'!Print_Area</vt:lpstr>
      <vt:lpstr>'Geology Closure &amp; Post-Closure'!Print_Area</vt:lpstr>
      <vt:lpstr>'Surface Imp. Closure'!Print_Area</vt:lpstr>
      <vt:lpstr>'Surface Imp. Post-Closure'!Print_Area</vt:lpstr>
      <vt:lpstr>'Type III Closure'!Print_Area</vt:lpstr>
      <vt:lpstr>'Type I-II Landfill Closure'!Print_Area</vt:lpstr>
      <vt:lpstr>'Type I-II Landfill Post-Closure'!Print_Area</vt:lpstr>
      <vt:lpstr>'Type III Post-Closure'!Print_Area</vt:lpstr>
      <vt:lpstr>'Type I-II Landfill Post-Closure'!Print_Titles</vt:lpstr>
    </vt:vector>
  </TitlesOfParts>
  <Company>Arkansas Department of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Perilloux</dc:creator>
  <cp:lastModifiedBy>Steven Forrester</cp:lastModifiedBy>
  <cp:lastPrinted>2025-04-07T20:41:47Z</cp:lastPrinted>
  <dcterms:created xsi:type="dcterms:W3CDTF">2011-12-08T15:52:02Z</dcterms:created>
  <dcterms:modified xsi:type="dcterms:W3CDTF">2025-10-16T15:16:02Z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