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40" tabRatio="862" activeTab="0"/>
  </bookViews>
  <sheets>
    <sheet name="SF&amp;RfD" sheetId="1" r:id="rId1"/>
    <sheet name="Chem&amp;Phy data" sheetId="2" r:id="rId2"/>
    <sheet name="Quantitation limits" sheetId="3" r:id="rId3"/>
    <sheet name="Soil properties &amp; QC" sheetId="4" r:id="rId4"/>
    <sheet name="Sd &amp; DAF Summers" sheetId="5" r:id="rId5"/>
    <sheet name="Dom DAF" sheetId="6" r:id="rId6"/>
    <sheet name="Exposure parameters" sheetId="7" r:id="rId7"/>
    <sheet name="GW1&amp;2" sheetId="8" r:id="rId8"/>
    <sheet name="GW3NDW" sheetId="9" r:id="rId9"/>
    <sheet name="GW3DW" sheetId="10" r:id="rId10"/>
    <sheet name="Soilni" sheetId="11" r:id="rId11"/>
    <sheet name="Soili" sheetId="12" r:id="rId12"/>
    <sheet name="SoilGW&amp;Soilsat" sheetId="13" r:id="rId13"/>
  </sheets>
  <externalReferences>
    <externalReference r:id="rId16"/>
  </externalReferences>
  <definedNames>
    <definedName name="A">'Sd &amp; DAF Summers'!$A$35</definedName>
    <definedName name="AFa">'[1]Exposure parameters'!$A$46</definedName>
    <definedName name="AFai">'Exposure parameters'!$A$48</definedName>
    <definedName name="AFan">'Exposure parameters'!$A$47</definedName>
    <definedName name="AFc">'Exposure parameters'!$A$46</definedName>
    <definedName name="ATc">'Exposure parameters'!$A$9</definedName>
    <definedName name="ATnc">'Exposure parameters'!$A$12</definedName>
    <definedName name="ATni">'Exposure parameters'!$A$10</definedName>
    <definedName name="ATnni">'Exposure parameters'!$A$11</definedName>
    <definedName name="Az">'Sd &amp; DAF Summers'!$A$17</definedName>
    <definedName name="B">'Sd &amp; DAF Summers'!$A$12</definedName>
    <definedName name="BWa">'Exposure parameters'!$A$25</definedName>
    <definedName name="BWc">'Exposure parameters'!$A$26</definedName>
    <definedName name="DFsummers">'Sd &amp; DAF Summers'!$A$24</definedName>
    <definedName name="DM1Ax" localSheetId="5">'Dom DAF'!$A$37</definedName>
    <definedName name="DM1Ay" localSheetId="5">'Dom DAF'!$A$38</definedName>
    <definedName name="DM1Az" localSheetId="5">'Dom DAF'!$A$39</definedName>
    <definedName name="DM1Dv" localSheetId="5">'Dom DAF'!$A$33</definedName>
    <definedName name="DM1O" localSheetId="5">'Dom DAF'!$A$34</definedName>
    <definedName name="DM1Ri" localSheetId="5">'Dom DAF'!$A$41</definedName>
    <definedName name="DM1Sd" localSheetId="5">'Dom DAF'!$A$26</definedName>
    <definedName name="DM1Sw" localSheetId="5">'Dom DAF'!$A$29</definedName>
    <definedName name="DM1v" localSheetId="5">'Dom DAF'!$A$35</definedName>
    <definedName name="DM1X" localSheetId="5">'Dom DAF'!$A$25</definedName>
    <definedName name="DM1Yi" localSheetId="5">'Dom DAF'!$A$42</definedName>
    <definedName name="Dv">'Sd &amp; DAF Summers'!$A$11</definedName>
    <definedName name="EDc">'Exposure parameters'!$A$19</definedName>
    <definedName name="EDi">'Exposure parameters'!$A$18</definedName>
    <definedName name="EDni">'Exposure parameters'!$A$17</definedName>
    <definedName name="EFi">'Exposure parameters'!$A$15</definedName>
    <definedName name="EFni">'Exposure parameters'!$A$14</definedName>
    <definedName name="ER" localSheetId="5">#REF!</definedName>
    <definedName name="ER">#REF!</definedName>
    <definedName name="FC" localSheetId="5">#REF!</definedName>
    <definedName name="FC">#REF!</definedName>
    <definedName name="foc">'Soil properties &amp; QC'!$A$11</definedName>
    <definedName name="GW_Quant">'Quantitation limits'!$C$1:$C$5</definedName>
    <definedName name="I">'Sd &amp; DAF Summers'!$A$10</definedName>
    <definedName name="IRAa">'Exposure parameters'!$A$38</definedName>
    <definedName name="IRAadj">'Exposure parameters'!$A$29</definedName>
    <definedName name="IRAc">'Exposure parameters'!$A$36</definedName>
    <definedName name="IRDadj">'Exposure parameters'!$A$30</definedName>
    <definedName name="IRF">'Exposure parameters'!$A$40</definedName>
    <definedName name="IRSadj">'Exposure parameters'!$A$28</definedName>
    <definedName name="IRSc">'Exposure parameters'!$A$35</definedName>
    <definedName name="IRSi">'Exposure parameters'!$A$34</definedName>
    <definedName name="IRWa">'Exposure parameters'!$A$37</definedName>
    <definedName name="IRWadj">'Exposure parameters'!$A$31</definedName>
    <definedName name="IRWndw">'Exposure parameters'!$A$32</definedName>
    <definedName name="Kw">'Exposure parameters'!$A$50</definedName>
    <definedName name="L">'Sd &amp; DAF Summers'!$A$13</definedName>
    <definedName name="Lb" localSheetId="5">#REF!</definedName>
    <definedName name="Lb">#REF!</definedName>
    <definedName name="Lcrack" localSheetId="5">#REF!</definedName>
    <definedName name="Lcrack">#REF!</definedName>
    <definedName name="Ls" localSheetId="5">#REF!</definedName>
    <definedName name="Ls">#REF!</definedName>
    <definedName name="n">'Soil properties &amp; QC'!$A$7</definedName>
    <definedName name="na">'Soil properties &amp; QC'!$A$9</definedName>
    <definedName name="nw">'Soil properties &amp; QC'!$A$8</definedName>
    <definedName name="pb">'Soil properties &amp; QC'!$A$6</definedName>
    <definedName name="_xlnm.Print_Area" localSheetId="1">'Chem&amp;Phy data'!$A$1:$M$50</definedName>
    <definedName name="_xlnm.Print_Area" localSheetId="6">'Exposure parameters'!$C$1</definedName>
    <definedName name="_xlnm.Print_Area" localSheetId="7">'GW1&amp;2'!$A$1:$M$49</definedName>
    <definedName name="_xlnm.Print_Area" localSheetId="9">'GW3DW'!$A$1:$H$56</definedName>
    <definedName name="_xlnm.Print_Area" localSheetId="8">'GW3NDW'!$A$1:$I$140</definedName>
    <definedName name="_xlnm.Print_Area" localSheetId="2">'Quantitation limits'!$A$1:$C$36</definedName>
    <definedName name="_xlnm.Print_Area" localSheetId="0">'SF&amp;RfD'!$A$1:$K$48</definedName>
    <definedName name="_xlnm.Print_Area" localSheetId="3">'Soil properties &amp; QC'!#REF!</definedName>
    <definedName name="_xlnm.Print_Area" localSheetId="12">'SoilGW&amp;Soilsat'!$A$1:$F$49</definedName>
    <definedName name="_xlnm.Print_Area" localSheetId="11">'Soili'!$A$1:$J$50</definedName>
    <definedName name="_xlnm.Print_Area" localSheetId="10">'Soilni'!$A$1:$K$51</definedName>
    <definedName name="_xlnm.Print_Titles" localSheetId="1">'Chem&amp;Phy data'!$1:$2</definedName>
    <definedName name="_xlnm.Print_Titles" localSheetId="7">'GW1&amp;2'!$1:$11</definedName>
    <definedName name="_xlnm.Print_Titles" localSheetId="9">'GW3DW'!$1:$9</definedName>
    <definedName name="_xlnm.Print_Titles" localSheetId="2">'Quantitation limits'!$1:$2</definedName>
    <definedName name="_xlnm.Print_Titles" localSheetId="0">'SF&amp;RfD'!$1:$2</definedName>
    <definedName name="_xlnm.Print_Titles" localSheetId="12">'SoilGW&amp;Soilsat'!$1:$12</definedName>
    <definedName name="_xlnm.Print_Titles" localSheetId="11">'Soili'!$1:$13</definedName>
    <definedName name="_xlnm.Print_Titles" localSheetId="10">'Soilni'!$1:$14</definedName>
    <definedName name="ps">'Soil properties &amp; QC'!$A$10</definedName>
    <definedName name="Q\C">'Soil properties &amp; QC'!$A$15</definedName>
    <definedName name="Qa">'Sd &amp; DAF Summers'!$A$27</definedName>
    <definedName name="Qp">'Sd &amp; DAF Summers'!$A$33</definedName>
    <definedName name="SAa">'[1]Exposure parameters'!$A$42</definedName>
    <definedName name="SAai">'Exposure parameters'!$A$44</definedName>
    <definedName name="SAan">'Exposure parameters'!$A$43</definedName>
    <definedName name="SAc">'Exposure parameters'!$A$42</definedName>
    <definedName name="Sd">'Sd &amp; DAF Summers'!$A$6</definedName>
    <definedName name="THQ">'Exposure parameters'!$A$7</definedName>
    <definedName name="Ti">'Exposure parameters'!$A$21</definedName>
    <definedName name="Tnia">'Exposure parameters'!$A$23</definedName>
    <definedName name="Tnic">'Exposure parameters'!$A$22</definedName>
    <definedName name="TR">'Exposure parameters'!$A$6</definedName>
    <definedName name="W">'Sd &amp; DAF Summers'!$A$30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C GW3DW =carcinogen chemical concentration in groundwater, drinking water (mg/L)
Parameter-Definition                                                                         Default value
TR-target excess individual lifetime cancer risk                                10-6 unitless
BWa-average adult body weight                                                      70 kg
SFo-oral cancer slope factor                                                             chemical-specific, 1/mg/kg-day
IRWa-adult water ingestion rate                                                       2 L/day
IRWndw-incidental water ingestion rate                                           0.089 L/day
BCF-bioconcentration factor                                                             chemical-specific, L/kg
IRF-fish/shellfish ingestion rate                                                        0.02 kg/day</t>
        </r>
      </text>
    </comment>
    <comment ref="A5" authorId="0">
      <text>
        <r>
          <rPr>
            <sz val="8"/>
            <rFont val="Tahoma"/>
            <family val="0"/>
          </rPr>
          <t>N GW3DW =noncarcinogen chemical concentration in groundwater, drinking water (mg/L)
Parameter-Definition                                                                         Default value
THQ-target hazard quotient                                                             1 unitless
RfDo-oral reference dose                                                                 chemical-specific, mg/kg-day
BWa-average adult body weight                                                      70 kg
IRWa-adult water ingestion rate                                                      2 L/day
IRWndw-incidental water ingestion rate                                           0.089 L/day
BCF-bioconcentration factor                                                             chemical-specific, L/kg
IRF-fish/shellfish ingestion rate                                                         0.02 kg/day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DA = apparent diffusivity (cm2/s)
Parameter-Definition                                                                         Default value
na-air filled soil porosity                                                                     n - nw(0.1485), Lair/Lsoil
Da-diffusivity in air                                                                             chemical-specific, cm2/s
H-Henry's Law Constant                                                                    chemical-specific, atm-m3/mol
(41)-conversion factor for Henry's Law Constant                             41 mol/atm-m3
nw-water filled soil porosity                                                               0.21 Lwater/Lsoil
Dw-diffusivity in water                                                                       chemical-specific, cm2/s
n-total soil porosity                                                                            1-(pb/ps)=0.3585 Lpore/Lsoil
pb-dry soil bulk density                                                                      1.7 g/cm3
ps-soil particle density                                                                        2.65 g/cm3
Koc-soil organic carbon partition coefficient                                      chemical-specific, cm3/g
foc-fractional organic carbon in soil, foc = % organic matter/174    0.006 g/g</t>
        </r>
      </text>
    </comment>
    <comment ref="A5" authorId="0">
      <text>
        <r>
          <rPr>
            <sz val="8"/>
            <rFont val="Tahoma"/>
            <family val="0"/>
          </rPr>
          <t>VFnic = soil-to-air volatilization factor, nonindustrial, child (m3/kg)
Parameter-Definition                                                                         Default value
Q/C-inverse of the mean concentration at the center of source     site-specific, g/m2-s per kg/m3
DA-apparent diffusivity                                                                    chemical-specific, cm2/s
Tnic-exposure interval, nonindustrial, child                                      1.9x108 s
pb-dry soil bulk density                                                                     1.7 g/cm3</t>
        </r>
      </text>
    </comment>
    <comment ref="A6" authorId="0">
      <text>
        <r>
          <rPr>
            <sz val="8"/>
            <rFont val="Tahoma"/>
            <family val="0"/>
          </rPr>
          <t>VFnia = soil-to-air volatilization factor, nonindustrial, adult  (m3/kg)
Parameter-Definition                                                                         Default value
Q/C-inverse of the mean concentration at the center of source     site-specific, g/m2-s per kg/m3
DA-apparent diffusivity                                                                    chemical-specific, cm2/s
Tnia-exposure interval, nonindustrial, adult                                     9.5x108 s
pb-dry soil bulk density                                                                     1.7 g/cm3</t>
        </r>
      </text>
    </comment>
    <comment ref="A8" authorId="0">
      <text>
        <r>
          <rPr>
            <sz val="8"/>
            <rFont val="Tahoma"/>
            <family val="0"/>
          </rPr>
          <t>Soilni-C-O =non-industrial risk-based carcinogen, organic chemical concentration in soil (mg/kg)
Parameter-Definition                                                                         Default value
TR-target excess individual lifetime cancer risk                                10-6 unitless
ATc-averaging time, carcinogens                                                      70 yr
EFni-non-industrial exposure frequency                                           350 days/yr
SFo-oral cancer slope factor                                                             chemical-specific, 1/mg/kg-day
IRSadj-age-adjusted soil ingestion rate                                            114 mg-yr/kg-day
SFi-inhalation cancer slope factor                                                     chemical-specific, 1/mg/kg-day
IRAadj-age-adjusted inhalation rate                                                 11 m3-yr/kg-day
VFnia-non-industrial soil to air volatilization factor                           chemical-specific, m3/kg
ABS-dermal absorption factor                                                           chemical-specific, unitless
IRDadj-age-adjusted dermal contact rate                                        360 mg-yr/kg-day</t>
        </r>
      </text>
    </comment>
    <comment ref="A9" authorId="0">
      <text>
        <r>
          <rPr>
            <sz val="8"/>
            <rFont val="Tahoma"/>
            <family val="0"/>
          </rPr>
          <t>Soilni-C-I =non-industrial risk-based carcinogen, inorganic chemical concentration in soil (mg/kg)
Parameter-Definition                                                                         Default value
TR-target excess individual lifetime cancer risk                                10-6 unitless
ATc-averaging time, carcinogens                                                      70 yr
EFni-non-industrial exposure frequency                                           350 days/yr
SFo-oral cancer slope factor                                                             chemical-specific, 1/mg/kg-day
IRSadj-age-adjusted soil ingestion rate                                            114 mg-yr/kg-day
ABS-dermal absorption factor                                                           chemical-specific, unitless
IRDadj-age-adjusted dermal contact rate                                        360 mg-yr/kg-day</t>
        </r>
      </text>
    </comment>
    <comment ref="A10" authorId="0">
      <text>
        <r>
          <rPr>
            <sz val="8"/>
            <rFont val="Tahoma"/>
            <family val="0"/>
          </rPr>
          <t>Soilni-N-O =non-industrial risk-based noncarcinogen, organic chemical concentration in soil (mg/kg)
Parameter-Definition                                                                         Default value
THQ-target hazard quotient                                                             1 unitless
BWc-average child body weight ages 1-6                                        15 kg
ATnc-averaging time, noncarcinogens, child                                    6 yr
EFni-non-industrial exposure frequency                                           350 days/yr
EDc-child exposure duration ages 1-6                                              6 yr
IRSc-child soil ingestion rate ages 1-6                                              200 mg/day
RfDo-oral reference dose                                                                 chemical-specific, mg/kg-day
IRAc-child inhalation rate ages 1-6                                                   10 m3/day
RfDi-inhalation reference dose                                                         chemical-specific, mg/kg-day
VFnic-non-industrial soil to air volatilization factor                           chemical-specific, m3/kg
SAc-child skin surface area                                                               2800 cm2/day
AFc-child soil to skin adherence factor                                             0.2 mg/cm2
ABS-dermal absorption factor                                                           chemical-specific, unitless</t>
        </r>
      </text>
    </comment>
    <comment ref="A11" authorId="0">
      <text>
        <r>
          <rPr>
            <sz val="8"/>
            <rFont val="Tahoma"/>
            <family val="0"/>
          </rPr>
          <t>Soilni-N-I =non-industrial risk-based noncarcinogen, inorganic chemical concentration in soil (mg/kg)
Parameter-Definition                                                                         Default value
THQ-target hazard quotient                                                             1 unitless
BWc-average child body weight ages 1-6                                        15 kg
ATnc-averaging time, noncarcinogens, child                                    6 yr
EFni-non-industrial exposure frequency                                           350 days/yr
EDc-child exposure duration ages 1-6                                              6 yr
IRSc-child soil ingestion rate ages 1-6                                              200 mg/day
RfDo-oral reference dose                                                                 chemical-specific, mg/kg-day
SAc-child skin surface area                                                               2800 cm2/day
AFc-child soil to skin adherence factor                                              0.2 mg/cm2
ABS-dermal absorption factor                                                           chemical-specific, unitless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DA = apparent diffucivity (cm2/s)
Parameter-Definition                                                                         Default value
na-air filled soil porosity                                                                     n - nw (0.1485), Lair/Lsoil
Da-diffusivity in air                                                                             chemical-specific, cm2/s
H-Henry's Law Constant                                                                    chemical-specific, atm-m3/mol
(41)-conversion factor for Henry's Law Constant                             41 mol/atm-m3
nw-water filled soil porosity                                                               0.21 Lwater/Lsoil
Dw-diffusivity in water                                                                       chemical-specific, cm2/s
n-total soil porosity                                                                             1-(pb/ps)=0.3585 Lpore/Lsoil
pb-dry soil bulk density                                                                       1.7 g/cm3
ps-soil particle density                                                                        2.65 g/cm3
Koc-soil organic carbon partition coefficient                                       chemical-specific, cm3/g
foc-fractional organic carbon in soil, foc = % organic matter/174     0.006 g/g</t>
        </r>
      </text>
    </comment>
    <comment ref="A5" authorId="0">
      <text>
        <r>
          <rPr>
            <sz val="8"/>
            <rFont val="Tahoma"/>
            <family val="0"/>
          </rPr>
          <t xml:space="preserve">VFi = soil-to-air volatilization factor, industrial  (m3/kg)
Parameter-Definition                                                                         Default value
Q/C-inverse of the mean concentration at the center of source     site-specific, g/m2-s per kg/m3
DA-apparent diffucivity                                                                    chemical-specific, cm2/s
Ti-exposure interval, industrial                                                         7.9x108 s
pb-dry soil bulk density                                                                     1.7 g/cm3
</t>
        </r>
      </text>
    </comment>
    <comment ref="A7" authorId="0">
      <text>
        <r>
          <rPr>
            <sz val="8"/>
            <rFont val="Tahoma"/>
            <family val="0"/>
          </rPr>
          <t>Soili-C-O =industrial risk-based carcinogen, organic chemical concentration in soil (mg/kg)
Parameter-Definition                                                                         Default value
TR-target excess individual lifetime cancer risk                                10-6 unitless
BWa-average adult body weight                                                      70 kg
ATc-averaging time, carcinogens                                                     70 yr
EFi-industrial exposure frequency                                                    250 days/yr
EDi-industrial exposure duration                                                       25 yr
SFo-oral cancer slope factor                                                             chemical-specific, 1/mg/kg-day
IRSi-industrial soil ingestion rate                                                       50 mg/day
SFi-inhalation cancer slope factor                                                     chemical-specific, 1/mg/kg-day
IRAa- adult inhalation rate                                                                20 m3/day
VFi-industrial soil to air volatilization factor                                       chemical-specific, m3/kg
SAai-adult skin surface area, industrial                                             3300 cm2/day
AFai-adult soil to skin adherence factor, industrial                           0.2 mg/cm2
ABS-dermal absorption factor                                                           chemical-specific, unitless</t>
        </r>
      </text>
    </comment>
    <comment ref="A8" authorId="0">
      <text>
        <r>
          <rPr>
            <sz val="8"/>
            <rFont val="Tahoma"/>
            <family val="0"/>
          </rPr>
          <t>Soili-C-I =industrial risk-based carcinogen, inorganic chemical concentration in soil (mg/kg)
Parameter-Definition                                                                         Default value
TR-target excess individual lifetime cancer risk                                10-6 unitless
BWa-average adult body weight                                                      70 kg
ATc-averaging time, carcinogens                                                     70 yr
EFi-industrial exposure frequency                                                    250 days/yr
EDi-industrial exposure duration                                                       25 yr
SFo-oral cancer slope factor                                                             chemical-specific, 1/mg/kg-day
IRSi-industrial soil ingestion rate                                                       50 mg/day
SAai-adult skin surface area, industrial                                            3300 cm2/day
AFai-adult soil to skin adherence factor, industrial                           0.2 mg/cm2
ABS-dermal absorption factor                                                           chemical-specific, unitless</t>
        </r>
      </text>
    </comment>
    <comment ref="A9" authorId="0">
      <text>
        <r>
          <rPr>
            <sz val="8"/>
            <rFont val="Tahoma"/>
            <family val="0"/>
          </rPr>
          <t>Soili-N-O =industrial risk-based noncarcinogen, organic chemical concentration in soil (mg/kg)
Parameter-Definition                                                                         Default value
THQ-target hazard quotient                                                             1 unitless
BWa-average adult body weight                                                      70 kg
ATni-averaging time, noncarcinogens, industrial                              25 yr
EFi-industrial exposure frequency                                                    250 days/yr
EDi-industrial exposure duration                                                       25 yr
IRSi-industrial soil ingestion rate                                                       50 mg/day
RfDo-oral reference dose                                                                 chemical-specific, mg/kg-day
IRAa-adult inhalation rate                                                                20 m3/day
RfDi-inhalation reference dose                                                         chemical-specific, mg/kg-day
VFi-industrial soil to air volatilization factor                                      chemical-specific, m3/kg
SAai-adult skin surface area, industrial                                            3300 cm2/day
AFai-adult soil to skin adherence factor, industrial                           0.2 mg/cm2
ABS-dermal absorption factor                                                           chemical-specific, unitless</t>
        </r>
      </text>
    </comment>
    <comment ref="A10" authorId="0">
      <text>
        <r>
          <rPr>
            <sz val="8"/>
            <rFont val="Tahoma"/>
            <family val="0"/>
          </rPr>
          <t>Soili-N-I =industrial risk-based noncarcinogen, inorganic chemical concentration in soil (mg/kg)
Parameter-Definition                                                                         Default value
THQ-target hazard quotient                                                             1 unitless
BWa-average adult body weight                                                      70 kg
ATni-averaging time, noncarcinogens, industrial                              25 yr
EFi-industrial exposure frequency                                                    250 days/yr
EDi-industrial exposure duration                                                       25 yr
IRSi-industrial soil ingestion rate                                                       50 mg/day
RfDo-oral reference dose                                                                 chemical-specific, mg/kg-day
SAai-adult skin surface area, industrial                                             3300 cm2/day
AFai-adult soil to skin adherence factor, industrial                           0.2 mg/cm2
ABS-dermal absorption factor                                                           chemical-specific, unitless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SoilGW1=soil protetive of groundwater 1 (mg/kg dry weight)
Parameter-Definition                                                                         Default value
DFsummers-dilution factor, vertical direction                                    site-specific, unitless
GW1-target soil leachate concentration                                            GW1 value, mg/L
pb-dry soil bulk density                                                                      1.7 g/cm3
Koc-soil organic carbon partition coefficient                                      chemical-specific, cm3/g
foc-fractional organic carbon in soil, foc = % organic matter/174    0.006 g/g
nw-water filled soil porosity                                                               0.21 Lwater/Lsoil
na-air filled soil porosity                                                                     n - nw (0.1485), Lair/Lsoil
H-Henry's Law Constant                                                                    chemical-specific, atm-m3/mol
(41)-conversion factor for Henry's Law Constant                             41 mol/atm-m3</t>
        </r>
      </text>
    </comment>
    <comment ref="A5" authorId="0">
      <text>
        <r>
          <rPr>
            <sz val="8"/>
            <rFont val="Tahoma"/>
            <family val="0"/>
          </rPr>
          <t>SoilGW2=soil protetive of groundwater 2 (mg/kg dry weight)
Parameter-Definition                                                                         Default value
DFsummers-dilution factor, vertical direction                                    site-specific, unitless
GW2-target soil leachate concentration                                            GW2 value, mg/L
pb-dry soil bulk density                                                                      1.7 g/cm3
Koc-soil organic carbon partition coefficient                                      chemical-specific, cm3/g
foc-fractional organic carbon in soil, foc = % organic matter/174    0.006 g/g
nw-water filled soil porosity                                                               0.21 Lwater/Lsoil
na-air filled soil porosity                                                                     n - nw (0.1485), Lair/Lsoil
H-Henry's Law Constant                                                                    chemical-specific, atm-m3/mol
(41)-conversion factor for Henry's Law Constant                             41 mol/atm-m3</t>
        </r>
      </text>
    </comment>
    <comment ref="A6" authorId="0">
      <text>
        <r>
          <rPr>
            <sz val="8"/>
            <rFont val="Tahoma"/>
            <family val="0"/>
          </rPr>
          <t>SoilGW3NDW=soil protetive of groundwater 3 nondrinking water (mg/kg dry weight)
Parameter-Definition                                                                         Default value
DFsummers-dilution factor, vertical direction                                    site-specific, unitless
GW3NDW-target soil leachate concentration                                    GW3NDW value, mg/L
pb-dry soil bulk density                                                                      1.7 g/cm3
Koc-soil organic carbon partition coefficient                                      chemical-specific, cm3/g
foc-fractional organic carbon in soil, foc = % organic matter/174    0.006 g/g
nw-water filled soil porosity                                                               0.21 Lwater/Lsoil
na-air filled soil porosity                                                                     n - nw (0.1485), Lair/Lsoil
H-Henry's Law Constant                                                                    chemical-specific, atm-m3/mol
(41)-conversion factor for Henry's Law Constant                             41 mol/atm-m3</t>
        </r>
      </text>
    </comment>
    <comment ref="A7" authorId="0">
      <text>
        <r>
          <rPr>
            <sz val="8"/>
            <rFont val="Tahoma"/>
            <family val="0"/>
          </rPr>
          <t>SoilGW3DW=soil protetive of groundwater 3 drinking water (mg/kg dry weight)
Parameter-Definition                                                                         Default value
DFsummers-dilution factor, vertical direction                                    site-specific, unitless
GW3DW-target soil leachate concentration                                      GW3DW value, mg/L
pb-dry soil bulk density                                                                      1.7 g/cm3
Koc-soil organic carbon partition coefficient                                      chemical-specific, cm3/g
foc-fractional organic carbon in soil, foc = % organic matter/174    0.006 g/g
nw-water filled soil porosity                                                               0.21 Lwater/Lsoil
na-air filled soil porosity                                                                     n - nw (0.1485), Lair/Lsoil
H-Henry's Law Constant                                                                    chemical-specific, atm-m3/mol
(41)-conversion factor for Henry's Law Constant                             41 mol/atm-m3</t>
        </r>
      </text>
    </comment>
    <comment ref="A9" authorId="0">
      <text>
        <r>
          <rPr>
            <sz val="8"/>
            <rFont val="Tahoma"/>
            <family val="0"/>
          </rPr>
          <t>Soilsat=soil saturation concentration (mg/kg dry weight)
Parameter-Definition                                                                         Default value
S-solubility in water                                                                           chemical-specific, mg/L
Koc-soil organic carbon partition coefficient                                      chemical-specific, cm3/g
foc-fractional organic carbon in soil, foc = % organic matter/174    0.006 g/g
pb-dry soil bulk density                                                                      1.7 g/cm3
nw-water filled soil porosity                                                               0.21 Lwater/Lsoil
na-air filled soil porosity                                                                     n - nw (0.1485), Lair/Lsoil
H-Henry's Law Constant                                                                    chemical-specific, atm-m3/mol
(41)-conversion factor for Henry's Law Constant                             41 mol/atm-m3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4" authorId="0">
      <text>
        <r>
          <rPr>
            <sz val="8"/>
            <rFont val="Tahoma"/>
            <family val="0"/>
          </rPr>
          <t>C-V GW1&amp;2 =risk-based carcinogen, volatile chemical concentration in groundwater (mg/L)
Parameter-Definition                                                                         Default value
TR-target excess individual lifetime cancer risk                                10-6 unitless
ATc-averaging time, carcinogens                                                      70 yr
EFni-non-industrial exposure frequency                                           350 days/yr
SFi-inhalation cancer slope factor                                                     chemical-specific, 1/mg/kg-day
Kw-water to indoor air volatilization factor                                       0.5 L/m3
IRAadj-age-adjusted soil inhalation rate                                          11 m3-yr/kg-day
SFo-oral cancer slope factor                                                             chemical-specific, 1/mg/kg-day
IRWadj-age-adjusted water ingestion rate                                      1.1 L-yr/kg-day</t>
        </r>
      </text>
    </comment>
    <comment ref="B5" authorId="0">
      <text>
        <r>
          <rPr>
            <sz val="8"/>
            <rFont val="Tahoma"/>
            <family val="0"/>
          </rPr>
          <t>C-NV GW1&amp;2 =risk-based carcinogen, non-volatile chemical concentration in groundwater (mg/L)
Parameter-Definition                                                                         Default value
TR-target excess individual lifetime cancer risk                                10-6 unitless
ATc-averaging time, carcinogens                                                      70 yr
EFni-non-industrial exposure frequency                                           350 days/yr
SFo-oral cancer slope factor                                                             chemical-specific, 1/mg/kg-day
IRWadj-age-adjusted water ingestion rate                                      1.1 L-yr/kg-day</t>
        </r>
      </text>
    </comment>
    <comment ref="B6" authorId="0">
      <text>
        <r>
          <rPr>
            <sz val="8"/>
            <rFont val="Tahoma"/>
            <family val="0"/>
          </rPr>
          <t>N-V GW1&amp;2 =risk-based noncarcinogen, volatile chemical concentration in groundwater (mg/L)
Parameter-Definition                                                                         Default value
THQ-target hazard quotient                                                             1 unitless
BWa-average adult body weight                                                      70 kg
ATnni-averaging time, noncarcinogens, non-industrial                     30 yr
EFni-non-industrial exposure frequency                                           350 days/yr
EDni-non-industrial exposure duration                                              30 yr
IRAa-adult inhalation rate                                                                 20 m3/day
RfDi-inhalation reference dose                                                         chemical-specific, mg/kg-day
Kw-water to indoor air volatilization factor                                       0.5 L/m3
IRWa-adult water ingestion rate                                                       2 L/day
RfDo-oral reference dose                                                                 chemical-specific, mg/kg-day</t>
        </r>
      </text>
    </comment>
    <comment ref="B7" authorId="0">
      <text>
        <r>
          <rPr>
            <sz val="8"/>
            <rFont val="Tahoma"/>
            <family val="0"/>
          </rPr>
          <t>N-NV GW1&amp;2 =risk-based noncarcinogen, non-volatile chemical concentration in groundwater (mg/L)
Parameter-Definition                                                                         Default value
THQ-target hazard quotient                                                             1 unitless
BWa-average adult body weight                                                      70 kg
ATnni-averaging time, noncarcinogens, non-industrial                     30 yr
EFni-non-industrial exposure frequency                                           350 days/yr
EDni-non-industrial exposure duration                                              30 yr
IRWa-adult water ingestion rate                                                       2 L/day
RfDo-oral reference dose                                                                 chemical-specific, mg/kg-day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C GW3NDW =carcinogen chemical concentration in groundwater, nondrinking water (mg/L)
Parameter-Definition                                                                         Default value
TR-target excess individual lifetime cancer risk                                10-6 unitless
BWa-average adult body weight                                                      70 kg
SFo-oral cancer slope factor                                                             chemical-specific, 1/mg/kg-day
IRWndw-incidental water ingestion rate                                           0.089 L/day
BCF-bioconcentration factor                                                             chemical-specific, L/kg
IRF-fish/shellfish ingestion rate                                                        0.02 kg/day</t>
        </r>
      </text>
    </comment>
    <comment ref="A5" authorId="0">
      <text>
        <r>
          <rPr>
            <sz val="8"/>
            <rFont val="Tahoma"/>
            <family val="0"/>
          </rPr>
          <t>N GW3NDW =noncarcinogen chemical concentration in groundwater, nondrinking water (mg/L)
Parameter-Definition                                                                         Default value
THQ-target hazard quotient                                                             1 unitless
RfDo-oral reference dose                                                                 chemical-specific, mg/kg-day
BWa-average adult body weight                                                      70 kg
IRWndw-incidental water ingestion rate                                           0.089 L/day
BCF-bioconcentration factor                                                             chemical-specific, L/kg
IRF-fish/shellfish ingestion rate                                                        0.02 kg/day</t>
        </r>
      </text>
    </comment>
  </commentList>
</comments>
</file>

<file path=xl/sharedStrings.xml><?xml version="1.0" encoding="utf-8"?>
<sst xmlns="http://schemas.openxmlformats.org/spreadsheetml/2006/main" count="1247" uniqueCount="504">
  <si>
    <t>COMPOUND</t>
  </si>
  <si>
    <t>CAS #</t>
  </si>
  <si>
    <t>REF</t>
  </si>
  <si>
    <t>ABS</t>
  </si>
  <si>
    <t>mg/kg-day</t>
  </si>
  <si>
    <t>unitless</t>
  </si>
  <si>
    <t>Acenaphthene</t>
  </si>
  <si>
    <t>83-32-9</t>
  </si>
  <si>
    <t>*******</t>
  </si>
  <si>
    <t>I</t>
  </si>
  <si>
    <t>*</t>
  </si>
  <si>
    <t>Acetone</t>
  </si>
  <si>
    <t>Aniline</t>
  </si>
  <si>
    <t>E</t>
  </si>
  <si>
    <t>Anthracene</t>
  </si>
  <si>
    <t>120-12-7</t>
  </si>
  <si>
    <t>Antimony</t>
  </si>
  <si>
    <t>7440-36-0</t>
  </si>
  <si>
    <t>Arsenic</t>
  </si>
  <si>
    <t>Benzene</t>
  </si>
  <si>
    <t>71-43-2</t>
  </si>
  <si>
    <t>Benz(a)anthracene</t>
  </si>
  <si>
    <t>56-55-3</t>
  </si>
  <si>
    <t>Benzo(a)pyrene</t>
  </si>
  <si>
    <t>50-32-8</t>
  </si>
  <si>
    <t>Benzo(b)fluoranthene</t>
  </si>
  <si>
    <t>205-99-2</t>
  </si>
  <si>
    <t>Benzo(k)fluoranthene</t>
  </si>
  <si>
    <t>207-08-9</t>
  </si>
  <si>
    <t>Bis(2-chloroisopropyl)ether</t>
  </si>
  <si>
    <t>H</t>
  </si>
  <si>
    <t>Bromomethane</t>
  </si>
  <si>
    <t>Cadmium</t>
  </si>
  <si>
    <t>Chlordane</t>
  </si>
  <si>
    <t>Chlorobenzene</t>
  </si>
  <si>
    <t>#</t>
  </si>
  <si>
    <t>Chrysene</t>
  </si>
  <si>
    <t>218-01-9</t>
  </si>
  <si>
    <t>Cobalt</t>
  </si>
  <si>
    <t>Dibenz(a,h)anthracene</t>
  </si>
  <si>
    <t>53-70-3</t>
  </si>
  <si>
    <t>Dibenzofuran</t>
  </si>
  <si>
    <t>Dibromo-3-chloropropane,1,2-</t>
  </si>
  <si>
    <t>Dinoseb</t>
  </si>
  <si>
    <t>Ethyl benzene</t>
  </si>
  <si>
    <t>100-41-4</t>
  </si>
  <si>
    <t>Fluoranthene</t>
  </si>
  <si>
    <t>206-44-0</t>
  </si>
  <si>
    <t>Fluorene</t>
  </si>
  <si>
    <t>86-73-7</t>
  </si>
  <si>
    <t>Hexachlorocyclopentadiene</t>
  </si>
  <si>
    <t>Indeno(1,2,3-cd)pyrene</t>
  </si>
  <si>
    <t>193-39-5</t>
  </si>
  <si>
    <t>Isobutyl alcohol</t>
  </si>
  <si>
    <t>Lead (inorganic)</t>
  </si>
  <si>
    <t>7439-92-1</t>
  </si>
  <si>
    <t>IEUBK</t>
  </si>
  <si>
    <t>Methyl ethyl ketone</t>
  </si>
  <si>
    <t>78-93-3</t>
  </si>
  <si>
    <t>Methyl isobutyl ketone</t>
  </si>
  <si>
    <t>108-10-1</t>
  </si>
  <si>
    <t>MTBE (methyl tert-butyl ether)</t>
  </si>
  <si>
    <t>1634-04-4</t>
  </si>
  <si>
    <t>Naphthalene</t>
  </si>
  <si>
    <t>91-20-3</t>
  </si>
  <si>
    <t>Nitrate</t>
  </si>
  <si>
    <t>Nitrite</t>
  </si>
  <si>
    <t>Nitrobenzene</t>
  </si>
  <si>
    <t>Pentachlorophenol</t>
  </si>
  <si>
    <t>Phenol</t>
  </si>
  <si>
    <t>Polychlorinated biphenyls</t>
  </si>
  <si>
    <t>Pyrene</t>
  </si>
  <si>
    <t>129-00-0</t>
  </si>
  <si>
    <t>Styrene</t>
  </si>
  <si>
    <t>Tetrachlorobenzene,1,2,4,5-</t>
  </si>
  <si>
    <t>Tetrachloroethane,1,1,1,2-</t>
  </si>
  <si>
    <t>Toluene</t>
  </si>
  <si>
    <t>108-88-3</t>
  </si>
  <si>
    <t>Trichlorofluoromethane</t>
  </si>
  <si>
    <t>Vanadium</t>
  </si>
  <si>
    <t>Xylene(mixed)</t>
  </si>
  <si>
    <t>1330-20-7</t>
  </si>
  <si>
    <t>Aliphatics C6-C8</t>
  </si>
  <si>
    <t>NA</t>
  </si>
  <si>
    <t>T</t>
  </si>
  <si>
    <t>Aliphatics &gt;C8-C10</t>
  </si>
  <si>
    <t>Aliphatics &gt;C10-C12</t>
  </si>
  <si>
    <t>Aliphatics &gt;C12-C16</t>
  </si>
  <si>
    <t>Aromatics &gt;C8-C10</t>
  </si>
  <si>
    <t>Aromatics &gt;C10-C12</t>
  </si>
  <si>
    <t>Aromatics &gt;C12-C16</t>
  </si>
  <si>
    <t>Aromatics &gt;C16-C21</t>
  </si>
  <si>
    <t xml:space="preserve"> MOL. WT </t>
  </si>
  <si>
    <t>g/g-mole</t>
  </si>
  <si>
    <t>mg/L</t>
  </si>
  <si>
    <t>********</t>
  </si>
  <si>
    <t>* If data on more than one isomer is available then used most protective.  If data available on only one isomer than used that data.</t>
  </si>
  <si>
    <t>6.  Handbook of Environmental Fate and Exposure Data for Organic Chemicals, vol. IV, 1991.</t>
  </si>
  <si>
    <t>7.  Handbook of Environmental Fate and Exposure Data for Organic Chemicals, vol. II, 1991.</t>
  </si>
  <si>
    <t>5.  Groundwater Chemicals Desk Reference, vol. II,  Montgomery, J. H., et.al., 1991.</t>
  </si>
  <si>
    <t>mg/kg</t>
  </si>
  <si>
    <t>mg/l</t>
  </si>
  <si>
    <t>RECAP</t>
  </si>
  <si>
    <t>Default Exposure parameters</t>
  </si>
  <si>
    <t>*****calculation inputs*****</t>
  </si>
  <si>
    <t>TR = target excess individual lifetime cancer risk</t>
  </si>
  <si>
    <t>THQ = target hazard quotient</t>
  </si>
  <si>
    <t>yr</t>
  </si>
  <si>
    <t>ATc = averaging time-carcinogens</t>
  </si>
  <si>
    <t>ATni = averaging time-noncarcinogens, industrial</t>
  </si>
  <si>
    <t xml:space="preserve">ATnni = averaging time-noncarcinogens, non-industrial </t>
  </si>
  <si>
    <t>ATnc = averaging time-noncarcinogens, child</t>
  </si>
  <si>
    <t>days/yr</t>
  </si>
  <si>
    <t>EFni = exposure frequency, non-industrial</t>
  </si>
  <si>
    <t>EFi = exposure frequency, industrial</t>
  </si>
  <si>
    <t>EDni = exposure duration, non-industrial</t>
  </si>
  <si>
    <t>EDi = exposure duration, industrial</t>
  </si>
  <si>
    <t>EDc = exposure duration, child ages 1-6</t>
  </si>
  <si>
    <t>sec</t>
  </si>
  <si>
    <t>Ti = exposure time, industrial (25 yr)</t>
  </si>
  <si>
    <t>Tnic = exposure time, non-industrial, child  (6 yr)</t>
  </si>
  <si>
    <t>Tnia = exposure time, non-industrial, adult (30 yr)</t>
  </si>
  <si>
    <t>kg</t>
  </si>
  <si>
    <t>BWa = average body weight, adult ages 7-31</t>
  </si>
  <si>
    <t>BWc = average body weight, child ages 1-6</t>
  </si>
  <si>
    <t>mg-yr/kg-day</t>
  </si>
  <si>
    <t>IRSadj = ingestion rate, age-adjusted, soil, (see calculation below)</t>
  </si>
  <si>
    <t>m3-yr/kg-day</t>
  </si>
  <si>
    <t>IRAadj = inhalation rate, age-adjusted (see calculation below)</t>
  </si>
  <si>
    <t>IRDadj = dermal contact rate, age-adjusted, soil (see calculation below)</t>
  </si>
  <si>
    <t>L-yr/kg-day</t>
  </si>
  <si>
    <t>IRWadj = ingestion rate, water, age-adjusted (see calculation below)</t>
  </si>
  <si>
    <t>L/day</t>
  </si>
  <si>
    <t>IRWndw = ingestion rate, water, non-drinking water (incidental)</t>
  </si>
  <si>
    <t>mg/day</t>
  </si>
  <si>
    <t>IRSi = ingestion rate, soil, industrial</t>
  </si>
  <si>
    <t>IRSc = ingestion rate, soil, child ages 1-6</t>
  </si>
  <si>
    <t>m3/day</t>
  </si>
  <si>
    <t>IRAc = inhalation rate, child ages 1-6</t>
  </si>
  <si>
    <t>IRWa = ingestion rate, water, adult</t>
  </si>
  <si>
    <t>IRAa = inhalation rate, adult ages 7-31</t>
  </si>
  <si>
    <t>kg/day</t>
  </si>
  <si>
    <t>IRF = ingestion rate, fish</t>
  </si>
  <si>
    <t>cm2/day</t>
  </si>
  <si>
    <t>SAc = surface area of skin, child</t>
  </si>
  <si>
    <t>mg/cm2</t>
  </si>
  <si>
    <t>AFc = adherence factor, soil-to-skin, child</t>
  </si>
  <si>
    <t>Lm3</t>
  </si>
  <si>
    <t>Kw =water-to-indoor air volatilization factor</t>
  </si>
  <si>
    <t>*****stop*****</t>
  </si>
  <si>
    <t>IRAadj</t>
  </si>
  <si>
    <t>=</t>
  </si>
  <si>
    <t>((IRAc * EDc)/(BWc)) + ((IRAa * EDa)/(BWa))</t>
  </si>
  <si>
    <t>EDa = exposure duration, adult ages 7-31</t>
  </si>
  <si>
    <t>IRSadj</t>
  </si>
  <si>
    <t>((IRSc * EDc)/(BWc)) + ((IRSa * EDa)/(BWa))</t>
  </si>
  <si>
    <t>IRSa = ingestion rate, soil, adult ages 7-31</t>
  </si>
  <si>
    <t>IRDadj</t>
  </si>
  <si>
    <t>((EDc * AFc * SAc)/(BWc)) + ((EDa * AFa * SAa)/(BWa))</t>
  </si>
  <si>
    <t>IRWadj</t>
  </si>
  <si>
    <t>((IRWc * EDc)/(BWc)) + ((IRWa * EDa)/(BWa))</t>
  </si>
  <si>
    <t>IRWc = ingestion rate, water, child</t>
  </si>
  <si>
    <t>ABS = dermal absorption factor</t>
  </si>
  <si>
    <t>Volatile organics (vapor pressure &gt; 95.2 mmHG)</t>
  </si>
  <si>
    <t>Volatile organics (vapor pressure &lt; 95.2 mmHG)</t>
  </si>
  <si>
    <t>Semivolatile organics (vapor pressure   mm HG)</t>
  </si>
  <si>
    <t>Inorganics</t>
  </si>
  <si>
    <t>DDD,DDE,DDT</t>
  </si>
  <si>
    <t>hexachlorocyclohexane,alpha,beta,gamma</t>
  </si>
  <si>
    <t>PAHs:</t>
  </si>
  <si>
    <t>acenaphthene</t>
  </si>
  <si>
    <t>anthracene</t>
  </si>
  <si>
    <t>benz(a)anthracene</t>
  </si>
  <si>
    <t>benzo(a)pyrene</t>
  </si>
  <si>
    <t>benzo(b)fluoranthene</t>
  </si>
  <si>
    <t>benzo(k)fluoranthene</t>
  </si>
  <si>
    <t>dibenzo(a)anthracene</t>
  </si>
  <si>
    <t>fluoranthene</t>
  </si>
  <si>
    <t>fluorene</t>
  </si>
  <si>
    <t>indeno(123cd)pyrene</t>
  </si>
  <si>
    <t>naphthalene</t>
  </si>
  <si>
    <t>pyrene</t>
  </si>
  <si>
    <t>Soil properties</t>
  </si>
  <si>
    <t>g/cm3</t>
  </si>
  <si>
    <t>pb = dry soil bulk density</t>
  </si>
  <si>
    <t>Lpore/Lsoil</t>
  </si>
  <si>
    <t>n = total soil porosity</t>
  </si>
  <si>
    <t>Lwater/Lsoil</t>
  </si>
  <si>
    <t>nw = water-filled soil porosity</t>
  </si>
  <si>
    <t>Lair/Lsoil</t>
  </si>
  <si>
    <t>na = air-filled soil porosity</t>
  </si>
  <si>
    <t>ps = soil particle density</t>
  </si>
  <si>
    <t>g/g</t>
  </si>
  <si>
    <t>foc = fractional organic carbon in soil</t>
  </si>
  <si>
    <t>g/m2-s per kg/m3</t>
  </si>
  <si>
    <t>Q/C = inverse of mean concentration at center of square source</t>
  </si>
  <si>
    <t>Soil-Nonindustrial</t>
  </si>
  <si>
    <t>Run date:</t>
  </si>
  <si>
    <t>DA = ((na^(10/3)*Da*H*41+nw^(10/3)*Dw)/n^2)/(pb*Koc*foc+nw+na*H*41)</t>
  </si>
  <si>
    <t>VFnic = (Q\C*1e-4*(3.14*DA*Tnic)^0.5)/(2*pb*DA)</t>
  </si>
  <si>
    <t>VFnia = (Q\C*1e-4*(3.14*DA*Tnia)^0.5)/(2*pb*DA)</t>
  </si>
  <si>
    <t>Soilni-C-O = (TR*ATc*365)/(EFni*(SFo*1e-6*IRSadj+SFi*(IRAadj/VFnia)+SFo*1e-6*ABS*IRDadj))</t>
  </si>
  <si>
    <t>Soilni-C-I = (TR*ATc*365)/(EFni*(SFo*1e-6*IRSadj+SFo*1e-6*ABS*IRDadj))</t>
  </si>
  <si>
    <t>Soilni-N-O = (THQ*BWc*ATnc*365)/(EFni*EDc*((IRSc/RfDo)*1e-6+(IRAc/RfDi)*(1/VFnic)+(SAc/RfDo)*AFc*ABS*1e-6))</t>
  </si>
  <si>
    <t>Soilni-N-I = (THQ*BWc*ATnc*365)/(EFni*EDc*((IRSc/RfDo)*1e-6+(SAc/RfDo)*AFc*ABS*1e-6)))</t>
  </si>
  <si>
    <t>Soilni</t>
  </si>
  <si>
    <t>min value</t>
  </si>
  <si>
    <t>C-O (mg/kg)</t>
  </si>
  <si>
    <t>C-I (mg/kg)</t>
  </si>
  <si>
    <t>N-O (mg/kg)</t>
  </si>
  <si>
    <t>N-I (mg/kg)</t>
  </si>
  <si>
    <t>(C or N)</t>
  </si>
  <si>
    <t>(mg/kg)</t>
  </si>
  <si>
    <t>ADDITIONAL COMPOUNDS</t>
  </si>
  <si>
    <t>Soil-Industrial</t>
  </si>
  <si>
    <t>VFi = (Q\C*1e-4*(3.14*DA*Ti)^0.5)/(2*pb*DA)</t>
  </si>
  <si>
    <t>Soili</t>
  </si>
  <si>
    <t>Groundwater Classification 1 &amp; 2</t>
  </si>
  <si>
    <t>C(mg/l)-Vol</t>
  </si>
  <si>
    <t>GW1&amp;2 = (TR*ATc*365)/(EFni*((SFi*Kw*IRAadj)+(SFo*IRWadj)))</t>
  </si>
  <si>
    <t>GW1&amp;2 = (TR*ATc*365)/(EFni*(SFo*IRWadj))</t>
  </si>
  <si>
    <t>N(mg/l)-Vol</t>
  </si>
  <si>
    <t>GW1&amp;2 = (THQ*BWa*ATnni*365)/(EFni*EDni*(((IRAa/RfDi)*Kw)+(IRWa/RfDo)))</t>
  </si>
  <si>
    <t>GW1&amp;2 = (THQ*BWa*ATnni*365)/(EFni*EDni*(IRWa/RfDo))</t>
  </si>
  <si>
    <t xml:space="preserve">MCL or </t>
  </si>
  <si>
    <t>MCL</t>
  </si>
  <si>
    <t>GW1</t>
  </si>
  <si>
    <t>GW2</t>
  </si>
  <si>
    <t xml:space="preserve">FOR CAL </t>
  </si>
  <si>
    <t>(mg/l)</t>
  </si>
  <si>
    <t>C(mg/l)-V</t>
  </si>
  <si>
    <t>C(mg/l)-NV</t>
  </si>
  <si>
    <t>N(mg/l)-V</t>
  </si>
  <si>
    <t>N(mg/l)-NV</t>
  </si>
  <si>
    <t>SOILGW1</t>
  </si>
  <si>
    <t>SOILGW2</t>
  </si>
  <si>
    <t>C (mg/l) GW3DW = (TR*BWa) / (SFo*(IRWa+IRWndw+BCF*IRF))</t>
  </si>
  <si>
    <t>N (mg/l) GW3DW = (THQ*RfDo*BWa) / (IRWa+IRWndw+BCF*IRF)</t>
  </si>
  <si>
    <t>LAC 33:IX.</t>
  </si>
  <si>
    <t xml:space="preserve"> LAC, MCL or</t>
  </si>
  <si>
    <t>1113(HHDW)</t>
  </si>
  <si>
    <t>BCF</t>
  </si>
  <si>
    <t>min (C,N)</t>
  </si>
  <si>
    <t>(mg/L)</t>
  </si>
  <si>
    <t>(l/kg)</t>
  </si>
  <si>
    <t>C (mg/l)</t>
  </si>
  <si>
    <t>N (mg/l)</t>
  </si>
  <si>
    <t>References:  Data hierarchy is based on (*1), (*2), and then (*3).</t>
  </si>
  <si>
    <t>(*1) Louisiana Administrative Code 33.IX.1113, Table 1</t>
  </si>
  <si>
    <t xml:space="preserve">     Metals criteria are hardness-dependent.  Listed criteria assume a hardness value of 50 mg/L.  </t>
  </si>
  <si>
    <t xml:space="preserve">     Site specific criteria may be calculated using the natural logarithm formulas at LAC 33:IX.1113, Table 1.</t>
  </si>
  <si>
    <t xml:space="preserve">      Drinking water supply is a raw water source which may require treatment before use.  Defined at LAC 33:IX.1105.</t>
  </si>
  <si>
    <t>(*3) Human health public water water supply criteria calculated in accordance with "Human Health Numerical</t>
  </si>
  <si>
    <t xml:space="preserve">      Criteria Derivations for Toxic Substances", LDEQ-OWR, June 23, 1994; (N=non-carcinogen, C=carcinogen)</t>
  </si>
  <si>
    <t xml:space="preserve">Groundwater Classification 3-Non-drinking  water </t>
  </si>
  <si>
    <t>C (mg/l) GW3NDW = (TR*BWa) / (SFo*(IRWndw+BCF*IRF))</t>
  </si>
  <si>
    <t>N (mg/l) GW3NDW = (THQ*RfDo*BWa) / (IRWndw+BCF*IRF)</t>
  </si>
  <si>
    <t>LAC(NDW) or max</t>
  </si>
  <si>
    <t>1113(HHNDW)</t>
  </si>
  <si>
    <t>(LAC,MCL, (MIN C, N))</t>
  </si>
  <si>
    <t>References:  Data hierarchy is based on (*1) then (*2).</t>
  </si>
  <si>
    <t>(*1) Louisiana Administrative Code 33.IX.1113, Table 1 (HHNDW)</t>
  </si>
  <si>
    <t>(*2) The maximum value of LAC 33.IX1113 (DW), MCL, or the minimum of</t>
  </si>
  <si>
    <t xml:space="preserve">      Derivations for Toxic Substances", LDEQ-OWR, June 23, 1994; (N=non-carcinogen, C=carcinogen)</t>
  </si>
  <si>
    <t>Notes:</t>
  </si>
  <si>
    <t>* BCF values from the Superfund Chemical Data Matrix, June 1996</t>
  </si>
  <si>
    <t>* BCF values not found in the Superfund Chemical Data Matrix are estimated below</t>
  </si>
  <si>
    <t>Estimation of BCF from Kow:</t>
  </si>
  <si>
    <t>log BCF = 0.76 log Kow - 0.23</t>
  </si>
  <si>
    <t>(from the Handbook of Chemical Property Estimation Methods, Lyman, Reehl, and Rosenblatt,</t>
  </si>
  <si>
    <t xml:space="preserve"> American Chemical Society, Washington, DC, 1990)</t>
  </si>
  <si>
    <t>log Kow</t>
  </si>
  <si>
    <t>log BCF</t>
  </si>
  <si>
    <t>Barium (ionic)</t>
  </si>
  <si>
    <t>(1)</t>
  </si>
  <si>
    <t>Biphenyl, 1,1-</t>
  </si>
  <si>
    <t>Carbon disulfide</t>
  </si>
  <si>
    <t>Chloroaniline, p-</t>
  </si>
  <si>
    <t>Chloroethane (ethylchloride)</t>
  </si>
  <si>
    <t>Chloromethane(Methyl chloride)</t>
  </si>
  <si>
    <t>Chloronaphthalene, 2-</t>
  </si>
  <si>
    <t>Chromium (VI)</t>
  </si>
  <si>
    <t>Dichloroethane, 1,1-</t>
  </si>
  <si>
    <t>Dichloroethene, cis, 1,2-</t>
  </si>
  <si>
    <t>Dichloroethene, trans, 1,2-</t>
  </si>
  <si>
    <t>Dichloropropane, 1,2-</t>
  </si>
  <si>
    <t>Dinitrobenzene, 1,3-</t>
  </si>
  <si>
    <t>Dinitrophenol, 2,4-</t>
  </si>
  <si>
    <t>Dinitrotoluene, 2,6-</t>
  </si>
  <si>
    <t>Dinitrotoluene, 2,4-</t>
  </si>
  <si>
    <t>Fluroanthene</t>
  </si>
  <si>
    <t>MTBE</t>
  </si>
  <si>
    <t>Nitroaniline, 2-</t>
  </si>
  <si>
    <t>Nitroaniline, 3-</t>
  </si>
  <si>
    <t>Nitroaniline, 4-</t>
  </si>
  <si>
    <t>Nitrophenol, 4-</t>
  </si>
  <si>
    <t>Nitrosodi-n-propylamine, n-</t>
  </si>
  <si>
    <t>Trichlorophenol, 2,4,5-</t>
  </si>
  <si>
    <t>Trichlorophenol, 2,4,6-</t>
  </si>
  <si>
    <t>Xylene (mixed)</t>
  </si>
  <si>
    <t>(2)</t>
  </si>
  <si>
    <t>log Kow values from the Superfund Data Matrix, June 1996</t>
  </si>
  <si>
    <t>(1) Data on this chemical could not be found.  Therefore, assume BCF = 1</t>
  </si>
  <si>
    <t>Xylene (mixed) Kow is the highest value of m,o,p xylene Kow values.</t>
  </si>
  <si>
    <t>(2) Research has shown that this chemical does not bioconcentrate.</t>
  </si>
  <si>
    <t>Estimation of Kow from Koc:</t>
  </si>
  <si>
    <t>log Koc = 0.0784 + (0.7919 * log Kow)</t>
  </si>
  <si>
    <t>(p 141 Soil Screening Guidance: Technical Background Document, May 1996)</t>
  </si>
  <si>
    <t>Sd eqn &amp; Summer's Model DAF</t>
  </si>
  <si>
    <t>Sd = hadv + hdisp = thickness of the mixing zone</t>
  </si>
  <si>
    <t>(ft)</t>
  </si>
  <si>
    <t>hadv = B*[1 - exp((-I*L)/(B*Dv))]</t>
  </si>
  <si>
    <t>(ft) = hadv = advective component of the plume depth</t>
  </si>
  <si>
    <t>(ft/yr) = Dv = horizontal Darcy velocity</t>
  </si>
  <si>
    <t>(ft) = B = thickness of the shallow water bearing zone</t>
  </si>
  <si>
    <t>(ft) = L = length of the source at the water table</t>
  </si>
  <si>
    <t>hdisp = (2*Az*L)</t>
  </si>
  <si>
    <t>(ft) = hdisp = dispersive component of the plume depth</t>
  </si>
  <si>
    <t xml:space="preserve">(ft) = Az = vertical dispersivity </t>
  </si>
  <si>
    <t>Summer's Model DAF</t>
  </si>
  <si>
    <t>DAF = Cl/Cgw = (Qa+Qp)/Qp</t>
  </si>
  <si>
    <t>Qa = Dv*Sd*W</t>
  </si>
  <si>
    <t>(ft3/yr) = Qa = volumetric flow rate of groundwater</t>
  </si>
  <si>
    <t>(ft) = Sd = hadv + hdisp = thickness of the mixing zone</t>
  </si>
  <si>
    <t>(ft) = W = width of impacted area perpendicular to flow direction of aquifer</t>
  </si>
  <si>
    <t>Qp = I*A</t>
  </si>
  <si>
    <t>(ft3/yr) = Qp = volumetric flow rate of infiltration (soil pore water ) into the aquifer</t>
  </si>
  <si>
    <t xml:space="preserve">(ft/yr) = I = infiltration rate </t>
  </si>
  <si>
    <t>(ft2) = A = area of the source</t>
  </si>
  <si>
    <t>Max DF Domenico</t>
  </si>
  <si>
    <t>(for use with SoilGW and GW values)</t>
  </si>
  <si>
    <t>SoilGW &amp; Soilsat</t>
  </si>
  <si>
    <t>SoilGW1 = DFsummers*(GW1*(pb*Koc*foc+nw+na*H*41))/(pb)</t>
  </si>
  <si>
    <t>SoilGW2 = DFsummers*(GW2*(pb*Koc*foc+nw+na*H*41))/(pb)</t>
  </si>
  <si>
    <t>SoilGW3NDW =DFsummers* (GW3NDW*(pb*Koc*foc+nw+na*H*41))/(pb)</t>
  </si>
  <si>
    <t>SoilGW3DW =DFsummers* (GW3DW*(pb*Koc*foc+nw+na*H*41))/(pb)</t>
  </si>
  <si>
    <t>Soilsat = S*(Koc*foc*pb+nw+H*41*na)/pb</t>
  </si>
  <si>
    <t>SoilGW1</t>
  </si>
  <si>
    <t>SoilGW2</t>
  </si>
  <si>
    <t>SoilGW3DW</t>
  </si>
  <si>
    <t>SoilGW3NDW</t>
  </si>
  <si>
    <t>Soilsat</t>
  </si>
  <si>
    <t>(m3/kg)</t>
  </si>
  <si>
    <t>(cm2/s)</t>
  </si>
  <si>
    <t>S</t>
  </si>
  <si>
    <r>
      <t>RfD</t>
    </r>
    <r>
      <rPr>
        <b/>
        <vertAlign val="subscript"/>
        <sz val="10"/>
        <rFont val="Arial"/>
        <family val="2"/>
      </rPr>
      <t>o</t>
    </r>
  </si>
  <si>
    <r>
      <t>RfD</t>
    </r>
    <r>
      <rPr>
        <b/>
        <vertAlign val="subscript"/>
        <sz val="10"/>
        <rFont val="Arial"/>
        <family val="2"/>
      </rPr>
      <t>i</t>
    </r>
  </si>
  <si>
    <r>
      <t>SF</t>
    </r>
    <r>
      <rPr>
        <b/>
        <vertAlign val="subscript"/>
        <sz val="10"/>
        <rFont val="Arial"/>
        <family val="2"/>
      </rPr>
      <t>o</t>
    </r>
  </si>
  <si>
    <r>
      <t>SF</t>
    </r>
    <r>
      <rPr>
        <b/>
        <vertAlign val="subscript"/>
        <sz val="10"/>
        <rFont val="Arial"/>
        <family val="2"/>
      </rPr>
      <t>i</t>
    </r>
  </si>
  <si>
    <t xml:space="preserve">COMPOUND </t>
  </si>
  <si>
    <t xml:space="preserve">S </t>
  </si>
  <si>
    <t>DA</t>
  </si>
  <si>
    <t>Chromium (III)</t>
  </si>
  <si>
    <r>
      <t>(mg/kg-day)</t>
    </r>
    <r>
      <rPr>
        <b/>
        <vertAlign val="superscript"/>
        <sz val="10"/>
        <rFont val="Arial"/>
        <family val="2"/>
      </rPr>
      <t>-1</t>
    </r>
  </si>
  <si>
    <t>Koc</t>
  </si>
  <si>
    <t>Da</t>
  </si>
  <si>
    <t>Dw</t>
  </si>
  <si>
    <t>VFnic</t>
  </si>
  <si>
    <t>VFi</t>
  </si>
  <si>
    <t>VFnia</t>
  </si>
  <si>
    <t>50-00-0</t>
  </si>
  <si>
    <t>Formaldehyde</t>
  </si>
  <si>
    <t>Acres</t>
  </si>
  <si>
    <t>AOI site area - input into Q/C equation below</t>
  </si>
  <si>
    <t>INORGANIC COMPOUNDS</t>
  </si>
  <si>
    <t>ORGANIC COUMPOUNDS</t>
  </si>
  <si>
    <t>SAan = surface area of skin, adult, non-industrial</t>
  </si>
  <si>
    <t>SAai = surface area of skin, adult, industrial</t>
  </si>
  <si>
    <t>AFai = adherence factor, soil-to-skin, adult, industrial</t>
  </si>
  <si>
    <t>AFan = adherence factor, soil-to-skin, adult, non-industrial</t>
  </si>
  <si>
    <t>&lt;V</t>
  </si>
  <si>
    <t>&gt;V</t>
  </si>
  <si>
    <t>SV</t>
  </si>
  <si>
    <t>OM</t>
  </si>
  <si>
    <t>Soili-C-O = (TR*BWa*ATc*365)/(EFi*EDi*(SFo*1e-6*IRSi+SFi*(IRAa/VFi)+SFo*SAai*AFai*ABS*1e-6))</t>
  </si>
  <si>
    <t>Soili-C-I = (TR*BWa*ATc*365)/(EFi*EDi*(SFo*1e-6*IRSi+SFo*SAai*AFai*ABS*1e-6))</t>
  </si>
  <si>
    <t>Soili-N-I = (THQ*BWa*ATni*365)/(EFi*EDi*((IRSi/RfDo)*1e-6+(SAai/RfDo)*AFai*ABS*1e-6)))</t>
  </si>
  <si>
    <t>Soili-N-O = (THQ*BWa*ATni*365)/(EFi*EDi*((IRSi/RfDo)*1e-6+(IRAa/RfDi)*(1/VFi)+(SAai/RfDo)*AFai*ABS*1e-6))</t>
  </si>
  <si>
    <t>chrysene</t>
  </si>
  <si>
    <t>Q/C Table</t>
  </si>
  <si>
    <t>site size</t>
  </si>
  <si>
    <t>0.5 acre</t>
  </si>
  <si>
    <t>1 acre</t>
  </si>
  <si>
    <t>2 acre</t>
  </si>
  <si>
    <t>5 acre</t>
  </si>
  <si>
    <t>10 acre</t>
  </si>
  <si>
    <t>30 acre</t>
  </si>
  <si>
    <t>Q/C value</t>
  </si>
  <si>
    <t>148*148</t>
  </si>
  <si>
    <t>209*209</t>
  </si>
  <si>
    <t>295*295</t>
  </si>
  <si>
    <t>467*467</t>
  </si>
  <si>
    <t>660*660</t>
  </si>
  <si>
    <t>1143*1143</t>
  </si>
  <si>
    <t>Management Option 2</t>
  </si>
  <si>
    <t>(*2) EPA's Maximum Contaminant Level (MCL) for drinking water</t>
  </si>
  <si>
    <t>General assumptions:</t>
  </si>
  <si>
    <t xml:space="preserve">10. The DAF is based on the estimated contaminant concentration (Cxi) </t>
  </si>
  <si>
    <t xml:space="preserve">    at the center line of the plume. </t>
  </si>
  <si>
    <t>Site-specific inputs:</t>
  </si>
  <si>
    <t>(ft) = Sd = vertical depth of plume (measured vertical extent</t>
  </si>
  <si>
    <t>(ft) = Sw = groundwater plume width perpendicular to</t>
  </si>
  <si>
    <t>Defaults:</t>
  </si>
  <si>
    <t>Model equation:</t>
  </si>
  <si>
    <t>(Csi/Cxi)= DAF =</t>
  </si>
  <si>
    <t>1/((EXP((X/(2*Ax))*(1-(SQRT(1+(4*Yi*Ax*Ri/v))))))</t>
  </si>
  <si>
    <t>*(ERF(Sw/(4*(SQRT(Ay*X)))))*(ERF(Sd/(2*(SQRT(Az*X))))))</t>
  </si>
  <si>
    <t xml:space="preserve">      =</t>
  </si>
  <si>
    <t>(dimensionless)</t>
  </si>
  <si>
    <t xml:space="preserve">X (ft) = distance </t>
  </si>
  <si>
    <t>downgradient from</t>
  </si>
  <si>
    <t>30 ft</t>
  </si>
  <si>
    <t>65 ft</t>
  </si>
  <si>
    <t>100 ft</t>
  </si>
  <si>
    <t>148 ft</t>
  </si>
  <si>
    <t>source =</t>
  </si>
  <si>
    <t>Sd   =</t>
  </si>
  <si>
    <t>3.2 ft</t>
  </si>
  <si>
    <t>6.9 ft</t>
  </si>
  <si>
    <t>10.5 ft</t>
  </si>
  <si>
    <t>15.6 ft</t>
  </si>
  <si>
    <t xml:space="preserve">   0 -   50</t>
  </si>
  <si>
    <t xml:space="preserve">  50 -  100</t>
  </si>
  <si>
    <t xml:space="preserve"> 100 -  150</t>
  </si>
  <si>
    <t xml:space="preserve"> 150 -  250</t>
  </si>
  <si>
    <t xml:space="preserve"> 250 -  500</t>
  </si>
  <si>
    <t xml:space="preserve"> 500 -  750</t>
  </si>
  <si>
    <t xml:space="preserve"> 750 - 1000</t>
  </si>
  <si>
    <t>1000 - 1250</t>
  </si>
  <si>
    <t>1250 - 1500</t>
  </si>
  <si>
    <t>1500 - 1750</t>
  </si>
  <si>
    <t>1750 - 2000</t>
  </si>
  <si>
    <t xml:space="preserve">T - For MTBE the listed value is the EPA taste/odor advisory value. </t>
  </si>
  <si>
    <t>Acenaphthylene</t>
  </si>
  <si>
    <t>208-96-8</t>
  </si>
  <si>
    <t>V</t>
  </si>
  <si>
    <t>Methylnaphthalene,2-</t>
  </si>
  <si>
    <t>91-57-6</t>
  </si>
  <si>
    <t>Phenanthrene</t>
  </si>
  <si>
    <t>85-01-8</t>
  </si>
  <si>
    <t xml:space="preserve">(ft/ft) = I = infiltration rate </t>
  </si>
  <si>
    <t>I = Integrated Risk Information System (IRIS), EPA.</t>
  </si>
  <si>
    <t>H = Health Effects Assessment Summary Tables (HEAST), EPA.</t>
  </si>
  <si>
    <t>A = Health Effects Assessment Summary Tables Alternative, EPA Region III Risk-Based Concentration Table.</t>
  </si>
  <si>
    <t>E = EPA-NCEA Regional Support provisional value, EPA Region III Risk-Based Concentration Table.</t>
  </si>
  <si>
    <t>* = Inhalation toxicity not available, oral toxicity value used to assess inhalation exposure.</t>
  </si>
  <si>
    <t># = Oral toxicity value not available, inhalation toxicity value used to assess oral exposure.</t>
  </si>
  <si>
    <t>O = EPA Region III Risk-Based Concentration Table.</t>
  </si>
  <si>
    <t>W = Withdrawn from IRIS or HEAST.</t>
  </si>
  <si>
    <t>T = TPH Criteria Working Group, 1997.</t>
  </si>
  <si>
    <t>IEUBK = refer to IEUBK model guidelines.</t>
  </si>
  <si>
    <t>D= Dermal RfD for cadmium is 2.5E-05 mg/kg-d (based on an oral absorption efficiency of 5%; RAGS-E, EPA 1999).</t>
  </si>
  <si>
    <t>8.  Soil Chemistry of Hazardous Materials, 1988.</t>
  </si>
  <si>
    <t>E  -  Estimated.</t>
  </si>
  <si>
    <t>1.  Soil Screening Guidance, 1996.</t>
  </si>
  <si>
    <t>2.  Superfund Chemical Data Matrix, June 1996.</t>
  </si>
  <si>
    <t>3.  Air Emissions Models for Waste and Wastewater, EPA-453/R-94-080A, 1994.</t>
  </si>
  <si>
    <t>4.  Groundwater Chemicals Desk Reference, Montgomery, J. H., et.al., 1990.</t>
  </si>
  <si>
    <t>9.  CHEMDAT 8, November, 1994.</t>
  </si>
  <si>
    <t>10. Total Petroleum Hydrocarbon Criteria Workgroup, 1996.</t>
  </si>
  <si>
    <t>Soil</t>
  </si>
  <si>
    <t>GW</t>
  </si>
  <si>
    <t>Appendix I</t>
  </si>
  <si>
    <t>Domenico Analytical Solute Transport Model</t>
  </si>
  <si>
    <t>1.  A single continuous source of one chemical compound dissolved</t>
  </si>
  <si>
    <t xml:space="preserve">    in the groundwater.  No NAPL.</t>
  </si>
  <si>
    <t>2.  No initial groundwater contamination.</t>
  </si>
  <si>
    <t>3.  Chemical compound is non-reactive.</t>
  </si>
  <si>
    <t>4.  No biodegradation or retardation occuring.</t>
  </si>
  <si>
    <t>5.  Groundwater flow is in one direction.</t>
  </si>
  <si>
    <t>6.  Saturated zone is homogeneous and isotropic</t>
  </si>
  <si>
    <t xml:space="preserve">    are based on ASTM E 1739-95 example.</t>
  </si>
  <si>
    <t>9.  Longitudinal, transverse, and vertical groundwater dispersivities</t>
  </si>
  <si>
    <t xml:space="preserve">8.  The point "X" is behind the point where "X = v * time since spill" </t>
  </si>
  <si>
    <t xml:space="preserve">    laterally in two directions and vertically in one direction.</t>
  </si>
  <si>
    <t>7.  Contaminant plume is a planar source spreading infinitely</t>
  </si>
  <si>
    <t>Example Calculation of the Groundwater Dilution Attenuation Factor</t>
  </si>
  <si>
    <t xml:space="preserve">  Sw or L=</t>
  </si>
  <si>
    <t xml:space="preserve">            of affected groundwater plume or the full thickness</t>
  </si>
  <si>
    <t>(ft) = X = distance downgradient from source.</t>
  </si>
  <si>
    <t>(ft/yr) = Dv = K * i = Darcy groundwater velocity.</t>
  </si>
  <si>
    <t>(dimensionless) = O = soil porosity.</t>
  </si>
  <si>
    <t>(ft/yr) = Dv / O = v = linear Darcy groundwater transport velocity.</t>
  </si>
  <si>
    <t>(ft) = X * 0.1 = Ax = longitudinal groundwater dispersivity.</t>
  </si>
  <si>
    <t>(ft) = Ax / 3 = Ay = transverse groundwater dispersivity.</t>
  </si>
  <si>
    <t>(ft) = Ax / 20 = Az = vertical groundwater dispersivity.</t>
  </si>
  <si>
    <t>(yr-1) = Yi = first-order degradation constant for constituent i.</t>
  </si>
  <si>
    <t>(dimensionless) = Ri = retardation factor for constituent i.</t>
  </si>
  <si>
    <t xml:space="preserve">            of the groundwater stratum). Based on site size.</t>
  </si>
  <si>
    <t xml:space="preserve">  C(mg/l)-NVol</t>
  </si>
  <si>
    <t xml:space="preserve">  N(mg/l)-NVol</t>
  </si>
  <si>
    <t xml:space="preserve">      human health non-drinking water criteria calculated in accordance with "Human Health Numerical Criteria</t>
  </si>
  <si>
    <t xml:space="preserve">Groundwater Classification 3-Drinking  Water </t>
  </si>
  <si>
    <t>Revision Date: 08/04/2003</t>
  </si>
  <si>
    <t>cm3/g</t>
  </si>
  <si>
    <t>atm-m3/mol</t>
  </si>
  <si>
    <t>cm2/s</t>
  </si>
  <si>
    <t xml:space="preserve"> groundwater flow. (See Soil properties page to input.)</t>
  </si>
  <si>
    <t>Appendix I - DAF</t>
  </si>
  <si>
    <t>Aliphatics &gt;C16-C35</t>
  </si>
  <si>
    <t>Aromatics &gt;C21-C35</t>
  </si>
  <si>
    <t>TPH-GRO (C6-C10)</t>
  </si>
  <si>
    <t>TPH-DRO (C10-C28)</t>
  </si>
  <si>
    <t>TPH-ORO (&gt;C28)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</si>
</sst>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0_)"/>
    <numFmt numFmtId="165" formatCode="0.000E+00_)"/>
    <numFmt numFmtId="166" formatCode="0.0E+00_)"/>
    <numFmt numFmtId="167" formatCode="0.00_)"/>
    <numFmt numFmtId="168" formatCode="0_)"/>
    <numFmt numFmtId="169" formatCode="0.0E+00"/>
    <numFmt numFmtId="170" formatCode="0.0"/>
    <numFmt numFmtId="171" formatCode="mmmm\ d\,\ yyyy"/>
    <numFmt numFmtId="172" formatCode="mm/dd/yy"/>
    <numFmt numFmtId="173" formatCode="0.0E-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Courier"/>
      <family val="3"/>
    </font>
    <font>
      <sz val="6"/>
      <name val="Arial"/>
      <family val="2"/>
    </font>
    <font>
      <sz val="5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name val="Tahoma"/>
      <family val="0"/>
    </font>
    <font>
      <u val="single"/>
      <sz val="10"/>
      <name val="Arial"/>
      <family val="2"/>
    </font>
    <font>
      <b/>
      <vertAlign val="subscript"/>
      <sz val="10"/>
      <name val="Arial"/>
      <family val="2"/>
    </font>
    <font>
      <sz val="10"/>
      <name val="Courier"/>
      <family val="3"/>
    </font>
    <font>
      <b/>
      <vertAlign val="superscript"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167" fontId="7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 quotePrefix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1" fontId="7" fillId="0" borderId="0" xfId="0" applyNumberFormat="1" applyFont="1" applyAlignment="1" applyProtection="1">
      <alignment/>
      <protection/>
    </xf>
    <xf numFmtId="11" fontId="7" fillId="0" borderId="0" xfId="0" applyNumberFormat="1" applyFont="1" applyAlignment="1" applyProtection="1">
      <alignment horizontal="center"/>
      <protection/>
    </xf>
    <xf numFmtId="11" fontId="7" fillId="0" borderId="0" xfId="0" applyNumberFormat="1" applyFont="1" applyAlignment="1" applyProtection="1" quotePrefix="1">
      <alignment horizontal="center"/>
      <protection/>
    </xf>
    <xf numFmtId="169" fontId="7" fillId="0" borderId="0" xfId="0" applyNumberFormat="1" applyFont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 locked="0"/>
    </xf>
    <xf numFmtId="2" fontId="0" fillId="2" borderId="0" xfId="0" applyNumberFormat="1" applyFont="1" applyFill="1" applyAlignment="1" applyProtection="1">
      <alignment/>
      <protection locked="0"/>
    </xf>
    <xf numFmtId="2" fontId="0" fillId="3" borderId="0" xfId="0" applyNumberFormat="1" applyFont="1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 locked="0"/>
    </xf>
    <xf numFmtId="11" fontId="7" fillId="2" borderId="0" xfId="0" applyNumberFormat="1" applyFont="1" applyFill="1" applyAlignment="1" applyProtection="1">
      <alignment horizontal="center"/>
      <protection locked="0"/>
    </xf>
    <xf numFmtId="169" fontId="7" fillId="2" borderId="0" xfId="0" applyNumberFormat="1" applyFont="1" applyFill="1" applyAlignment="1" applyProtection="1">
      <alignment horizontal="center"/>
      <protection locked="0"/>
    </xf>
    <xf numFmtId="11" fontId="7" fillId="2" borderId="0" xfId="0" applyNumberFormat="1" applyFont="1" applyFill="1" applyAlignment="1" applyProtection="1">
      <alignment/>
      <protection locked="0"/>
    </xf>
    <xf numFmtId="11" fontId="7" fillId="2" borderId="0" xfId="0" applyNumberFormat="1" applyFont="1" applyFill="1" applyAlignment="1" applyProtection="1" quotePrefix="1">
      <alignment horizontal="center"/>
      <protection locked="0"/>
    </xf>
    <xf numFmtId="169" fontId="7" fillId="2" borderId="0" xfId="0" applyNumberFormat="1" applyFont="1" applyFill="1" applyAlignment="1" applyProtection="1" quotePrefix="1">
      <alignment horizontal="center"/>
      <protection locked="0"/>
    </xf>
    <xf numFmtId="11" fontId="0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center"/>
      <protection locked="0"/>
    </xf>
    <xf numFmtId="169" fontId="7" fillId="0" borderId="0" xfId="0" applyNumberFormat="1" applyFont="1" applyFill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19" applyFont="1" applyFill="1" applyBorder="1" applyAlignment="1" applyProtection="1">
      <alignment horizontal="center"/>
      <protection locked="0"/>
    </xf>
    <xf numFmtId="11" fontId="0" fillId="2" borderId="5" xfId="19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/>
    </xf>
    <xf numFmtId="169" fontId="0" fillId="2" borderId="0" xfId="0" applyNumberFormat="1" applyFont="1" applyFill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1" fontId="8" fillId="0" borderId="0" xfId="0" applyNumberFormat="1" applyFont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0" xfId="19" applyFont="1" applyBorder="1" applyAlignment="1" applyProtection="1">
      <alignment horizontal="center"/>
      <protection/>
    </xf>
    <xf numFmtId="0" fontId="8" fillId="0" borderId="0" xfId="19" applyFont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1" fontId="0" fillId="0" borderId="1" xfId="0" applyNumberFormat="1" applyFont="1" applyBorder="1" applyAlignment="1" applyProtection="1">
      <alignment horizontal="center"/>
      <protection/>
    </xf>
    <xf numFmtId="0" fontId="0" fillId="0" borderId="12" xfId="19" applyFont="1" applyBorder="1" applyAlignment="1" applyProtection="1">
      <alignment horizontal="center"/>
      <protection/>
    </xf>
    <xf numFmtId="0" fontId="0" fillId="0" borderId="13" xfId="19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6" xfId="19" applyFont="1" applyBorder="1" applyAlignment="1" applyProtection="1">
      <alignment horizontal="center"/>
      <protection/>
    </xf>
    <xf numFmtId="0" fontId="1" fillId="0" borderId="14" xfId="19" applyFont="1" applyBorder="1" applyAlignment="1" applyProtection="1">
      <alignment horizontal="center"/>
      <protection/>
    </xf>
    <xf numFmtId="0" fontId="0" fillId="0" borderId="0" xfId="19" applyFont="1" applyProtection="1">
      <alignment/>
      <protection/>
    </xf>
    <xf numFmtId="0" fontId="0" fillId="0" borderId="0" xfId="19" applyFont="1" applyProtection="1">
      <alignment/>
      <protection/>
    </xf>
    <xf numFmtId="0" fontId="0" fillId="0" borderId="0" xfId="19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7" xfId="19" applyFont="1" applyBorder="1" applyAlignment="1" applyProtection="1">
      <alignment horizontal="center"/>
      <protection/>
    </xf>
    <xf numFmtId="0" fontId="1" fillId="0" borderId="2" xfId="19" applyFont="1" applyBorder="1" applyAlignment="1" applyProtection="1">
      <alignment horizontal="center"/>
      <protection/>
    </xf>
    <xf numFmtId="0" fontId="1" fillId="0" borderId="13" xfId="19" applyFont="1" applyBorder="1" applyAlignment="1" applyProtection="1">
      <alignment horizontal="center"/>
      <protection/>
    </xf>
    <xf numFmtId="0" fontId="0" fillId="0" borderId="9" xfId="19" applyFont="1" applyBorder="1" applyAlignment="1" applyProtection="1">
      <alignment horizontal="center"/>
      <protection/>
    </xf>
    <xf numFmtId="11" fontId="0" fillId="0" borderId="9" xfId="19" applyNumberFormat="1" applyFont="1" applyBorder="1" applyAlignment="1" applyProtection="1">
      <alignment horizontal="center"/>
      <protection/>
    </xf>
    <xf numFmtId="11" fontId="0" fillId="0" borderId="0" xfId="19" applyNumberFormat="1" applyFont="1" applyProtection="1">
      <alignment/>
      <protection/>
    </xf>
    <xf numFmtId="0" fontId="0" fillId="0" borderId="1" xfId="19" applyFont="1" applyBorder="1" applyAlignment="1" applyProtection="1">
      <alignment horizontal="center"/>
      <protection/>
    </xf>
    <xf numFmtId="11" fontId="0" fillId="0" borderId="1" xfId="19" applyNumberFormat="1" applyFont="1" applyBorder="1" applyAlignment="1" applyProtection="1">
      <alignment horizontal="center"/>
      <protection/>
    </xf>
    <xf numFmtId="0" fontId="0" fillId="0" borderId="0" xfId="19" applyFont="1" applyBorder="1" applyProtection="1">
      <alignment/>
      <protection/>
    </xf>
    <xf numFmtId="0" fontId="0" fillId="0" borderId="2" xfId="19" applyFont="1" applyBorder="1" applyAlignment="1" applyProtection="1">
      <alignment horizontal="center"/>
      <protection/>
    </xf>
    <xf numFmtId="11" fontId="0" fillId="0" borderId="2" xfId="19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19" applyFont="1" applyBorder="1" applyAlignment="1" applyProtection="1">
      <alignment horizontal="center"/>
      <protection/>
    </xf>
    <xf numFmtId="11" fontId="0" fillId="0" borderId="0" xfId="19" applyNumberFormat="1" applyFont="1" applyBorder="1" applyAlignment="1" applyProtection="1">
      <alignment horizontal="center"/>
      <protection/>
    </xf>
    <xf numFmtId="11" fontId="5" fillId="0" borderId="0" xfId="19" applyNumberFormat="1" applyFont="1" applyProtection="1">
      <alignment/>
      <protection/>
    </xf>
    <xf numFmtId="0" fontId="6" fillId="0" borderId="0" xfId="19" applyFont="1" applyBorder="1" applyProtection="1">
      <alignment/>
      <protection/>
    </xf>
    <xf numFmtId="0" fontId="0" fillId="0" borderId="0" xfId="19" applyFont="1" applyBorder="1" applyProtection="1">
      <alignment/>
      <protection/>
    </xf>
    <xf numFmtId="0" fontId="5" fillId="0" borderId="0" xfId="19" applyFont="1" applyProtection="1">
      <alignment/>
      <protection/>
    </xf>
    <xf numFmtId="0" fontId="0" fillId="0" borderId="0" xfId="19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19" applyFont="1" applyBorder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19" applyFont="1" applyBorder="1" applyProtection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169" fontId="9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9" fontId="11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 quotePrefix="1">
      <alignment/>
      <protection/>
    </xf>
    <xf numFmtId="167" fontId="7" fillId="0" borderId="0" xfId="0" applyNumberFormat="1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left"/>
      <protection/>
    </xf>
    <xf numFmtId="170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7" fillId="2" borderId="0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Alignment="1" applyProtection="1" quotePrefix="1">
      <alignment/>
      <protection/>
    </xf>
    <xf numFmtId="0" fontId="0" fillId="2" borderId="3" xfId="19" applyFont="1" applyFill="1" applyBorder="1" applyAlignment="1" applyProtection="1">
      <alignment horizontal="center"/>
      <protection locked="0"/>
    </xf>
    <xf numFmtId="0" fontId="0" fillId="0" borderId="0" xfId="19" applyFont="1" applyFill="1" applyBorder="1" applyProtection="1">
      <alignment/>
      <protection/>
    </xf>
    <xf numFmtId="11" fontId="0" fillId="0" borderId="0" xfId="19" applyNumberFormat="1" applyFont="1" applyFill="1" applyBorder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19" applyFont="1" applyFill="1" applyBorder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11" fontId="0" fillId="2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/>
      <protection locked="0"/>
    </xf>
    <xf numFmtId="11" fontId="11" fillId="0" borderId="1" xfId="0" applyNumberFormat="1" applyFont="1" applyBorder="1" applyAlignment="1" applyProtection="1">
      <alignment horizontal="center"/>
      <protection/>
    </xf>
    <xf numFmtId="0" fontId="7" fillId="2" borderId="0" xfId="0" applyNumberFormat="1" applyFont="1" applyFill="1" applyAlignment="1" applyProtection="1" quotePrefix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1" fontId="7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 quotePrefix="1">
      <alignment/>
      <protection/>
    </xf>
    <xf numFmtId="17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1" fillId="0" borderId="15" xfId="19" applyFont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 quotePrefix="1">
      <alignment horizontal="left"/>
      <protection/>
    </xf>
    <xf numFmtId="0" fontId="1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5" fontId="16" fillId="0" borderId="0" xfId="0" applyNumberFormat="1" applyFont="1" applyAlignment="1" applyProtection="1" quotePrefix="1">
      <alignment horizontal="left"/>
      <protection/>
    </xf>
    <xf numFmtId="172" fontId="16" fillId="0" borderId="0" xfId="0" applyNumberFormat="1" applyFont="1" applyAlignment="1" applyProtection="1" quotePrefix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 applyProtection="1" quotePrefix="1">
      <alignment horizontal="left"/>
      <protection/>
    </xf>
    <xf numFmtId="0" fontId="16" fillId="2" borderId="0" xfId="0" applyFont="1" applyFill="1" applyAlignment="1" applyProtection="1">
      <alignment/>
      <protection locked="0"/>
    </xf>
    <xf numFmtId="170" fontId="16" fillId="0" borderId="0" xfId="0" applyNumberFormat="1" applyFont="1" applyAlignment="1" applyProtection="1" quotePrefix="1">
      <alignment/>
      <protection/>
    </xf>
    <xf numFmtId="0" fontId="16" fillId="2" borderId="0" xfId="0" applyFont="1" applyFill="1" applyAlignment="1" applyProtection="1">
      <alignment/>
      <protection locked="0"/>
    </xf>
    <xf numFmtId="0" fontId="16" fillId="0" borderId="0" xfId="0" applyFont="1" applyAlignment="1" applyProtection="1" quotePrefix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170" fontId="16" fillId="0" borderId="0" xfId="0" applyNumberFormat="1" applyFont="1" applyAlignment="1" applyProtection="1" quotePrefix="1">
      <alignment horizontal="right"/>
      <protection/>
    </xf>
    <xf numFmtId="170" fontId="16" fillId="0" borderId="0" xfId="0" applyNumberFormat="1" applyFont="1" applyAlignment="1" applyProtection="1">
      <alignment horizontal="right"/>
      <protection/>
    </xf>
    <xf numFmtId="173" fontId="16" fillId="0" borderId="0" xfId="0" applyNumberFormat="1" applyFont="1" applyAlignment="1" applyProtection="1" quotePrefix="1">
      <alignment horizontal="left"/>
      <protection/>
    </xf>
    <xf numFmtId="173" fontId="16" fillId="0" borderId="0" xfId="0" applyNumberFormat="1" applyFont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/>
      <protection/>
    </xf>
    <xf numFmtId="0" fontId="11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166" fontId="0" fillId="0" borderId="1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167" fontId="0" fillId="0" borderId="1" xfId="0" applyNumberFormat="1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 quotePrefix="1">
      <alignment horizontal="left"/>
      <protection/>
    </xf>
    <xf numFmtId="169" fontId="0" fillId="0" borderId="12" xfId="0" applyNumberFormat="1" applyFont="1" applyFill="1" applyBorder="1" applyAlignment="1" applyProtection="1">
      <alignment horizontal="center"/>
      <protection/>
    </xf>
    <xf numFmtId="169" fontId="0" fillId="0" borderId="1" xfId="0" applyNumberFormat="1" applyFont="1" applyFill="1" applyBorder="1" applyAlignment="1" applyProtection="1" quotePrefix="1">
      <alignment horizontal="center"/>
      <protection/>
    </xf>
    <xf numFmtId="11" fontId="0" fillId="0" borderId="1" xfId="0" applyNumberFormat="1" applyFont="1" applyFill="1" applyBorder="1" applyAlignment="1" applyProtection="1" quotePrefix="1">
      <alignment horizontal="center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1" fillId="0" borderId="6" xfId="0" applyFont="1" applyFill="1" applyBorder="1" applyAlignment="1" applyProtection="1">
      <alignment horizontal="center"/>
      <protection/>
    </xf>
    <xf numFmtId="11" fontId="1" fillId="0" borderId="6" xfId="0" applyNumberFormat="1" applyFont="1" applyFill="1" applyBorder="1" applyAlignment="1" applyProtection="1">
      <alignment horizontal="center"/>
      <protection/>
    </xf>
    <xf numFmtId="11" fontId="1" fillId="0" borderId="6" xfId="0" applyNumberFormat="1" applyFont="1" applyFill="1" applyBorder="1" applyAlignment="1" applyProtection="1" quotePrefix="1">
      <alignment horizontal="center"/>
      <protection/>
    </xf>
    <xf numFmtId="11" fontId="1" fillId="0" borderId="14" xfId="0" applyNumberFormat="1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center"/>
      <protection/>
    </xf>
    <xf numFmtId="11" fontId="1" fillId="0" borderId="2" xfId="0" applyNumberFormat="1" applyFont="1" applyFill="1" applyBorder="1" applyAlignment="1" applyProtection="1">
      <alignment horizontal="center"/>
      <protection/>
    </xf>
    <xf numFmtId="11" fontId="1" fillId="0" borderId="13" xfId="0" applyNumberFormat="1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center"/>
      <protection/>
    </xf>
    <xf numFmtId="11" fontId="0" fillId="0" borderId="9" xfId="0" applyNumberFormat="1" applyFont="1" applyFill="1" applyBorder="1" applyAlignment="1" applyProtection="1">
      <alignment horizontal="center"/>
      <protection/>
    </xf>
    <xf numFmtId="0" fontId="0" fillId="0" borderId="10" xfId="19" applyFont="1" applyFill="1" applyBorder="1" applyAlignment="1" applyProtection="1">
      <alignment horizontal="center"/>
      <protection/>
    </xf>
    <xf numFmtId="0" fontId="0" fillId="0" borderId="0" xfId="19" applyFont="1" applyFill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center"/>
      <protection/>
    </xf>
    <xf numFmtId="11" fontId="0" fillId="0" borderId="1" xfId="0" applyNumberFormat="1" applyFont="1" applyFill="1" applyBorder="1" applyAlignment="1" applyProtection="1">
      <alignment horizontal="center"/>
      <protection/>
    </xf>
    <xf numFmtId="0" fontId="0" fillId="0" borderId="12" xfId="19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 quotePrefix="1">
      <alignment horizontal="left"/>
      <protection/>
    </xf>
    <xf numFmtId="11" fontId="0" fillId="0" borderId="2" xfId="0" applyNumberFormat="1" applyFont="1" applyFill="1" applyBorder="1" applyAlignment="1" applyProtection="1">
      <alignment horizontal="center"/>
      <protection/>
    </xf>
    <xf numFmtId="0" fontId="0" fillId="0" borderId="13" xfId="19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169" fontId="0" fillId="0" borderId="9" xfId="0" applyNumberFormat="1" applyFont="1" applyFill="1" applyBorder="1" applyAlignment="1" applyProtection="1">
      <alignment horizontal="center"/>
      <protection/>
    </xf>
    <xf numFmtId="169" fontId="0" fillId="0" borderId="10" xfId="0" applyNumberFormat="1" applyFont="1" applyFill="1" applyBorder="1" applyAlignment="1" applyProtection="1">
      <alignment horizontal="center"/>
      <protection/>
    </xf>
    <xf numFmtId="169" fontId="0" fillId="0" borderId="1" xfId="0" applyNumberFormat="1" applyFont="1" applyFill="1" applyBorder="1" applyAlignment="1" applyProtection="1">
      <alignment horizontal="center"/>
      <protection/>
    </xf>
    <xf numFmtId="169" fontId="0" fillId="0" borderId="2" xfId="0" applyNumberFormat="1" applyFont="1" applyFill="1" applyBorder="1" applyAlignment="1" applyProtection="1">
      <alignment horizontal="center"/>
      <protection/>
    </xf>
    <xf numFmtId="169" fontId="0" fillId="0" borderId="13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" fontId="16" fillId="0" borderId="0" xfId="0" applyNumberFormat="1" applyFont="1" applyAlignment="1" applyProtection="1">
      <alignment/>
      <protection/>
    </xf>
    <xf numFmtId="0" fontId="15" fillId="0" borderId="0" xfId="0" applyFont="1" applyFill="1" applyAlignment="1" applyProtection="1" quotePrefix="1">
      <alignment horizontal="left"/>
      <protection/>
    </xf>
    <xf numFmtId="15" fontId="16" fillId="0" borderId="0" xfId="0" applyNumberFormat="1" applyFont="1" applyFill="1" applyAlignment="1" applyProtection="1" quotePrefix="1">
      <alignment horizontal="left"/>
      <protection/>
    </xf>
    <xf numFmtId="14" fontId="16" fillId="0" borderId="0" xfId="0" applyNumberFormat="1" applyFont="1" applyFill="1" applyAlignment="1" applyProtection="1" quotePrefix="1">
      <alignment horizontal="left"/>
      <protection/>
    </xf>
    <xf numFmtId="11" fontId="1" fillId="0" borderId="0" xfId="0" applyNumberFormat="1" applyFont="1" applyFill="1" applyAlignment="1" applyProtection="1" quotePrefix="1">
      <alignment horizontal="left"/>
      <protection/>
    </xf>
    <xf numFmtId="15" fontId="0" fillId="0" borderId="0" xfId="0" applyNumberFormat="1" applyFont="1" applyFill="1" applyAlignment="1" applyProtection="1" quotePrefix="1">
      <alignment horizontal="left"/>
      <protection/>
    </xf>
    <xf numFmtId="14" fontId="0" fillId="0" borderId="0" xfId="0" applyNumberFormat="1" applyFont="1" applyFill="1" applyAlignment="1" applyProtection="1">
      <alignment/>
      <protection/>
    </xf>
    <xf numFmtId="11" fontId="0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 applyProtection="1" quotePrefix="1">
      <alignment horizontal="left"/>
      <protection/>
    </xf>
    <xf numFmtId="14" fontId="0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 quotePrefix="1">
      <alignment horizontal="center"/>
      <protection/>
    </xf>
    <xf numFmtId="0" fontId="0" fillId="0" borderId="14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 quotePrefix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 quotePrefix="1">
      <alignment horizontal="center"/>
      <protection/>
    </xf>
    <xf numFmtId="11" fontId="0" fillId="0" borderId="9" xfId="0" applyNumberFormat="1" applyFont="1" applyFill="1" applyBorder="1" applyAlignment="1" applyProtection="1" quotePrefix="1">
      <alignment horizontal="center"/>
      <protection/>
    </xf>
    <xf numFmtId="11" fontId="0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1" fontId="0" fillId="0" borderId="7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5" fontId="0" fillId="0" borderId="0" xfId="0" applyNumberFormat="1" applyFont="1" applyFill="1" applyAlignment="1" applyProtection="1" quotePrefix="1">
      <alignment horizontal="right"/>
      <protection/>
    </xf>
    <xf numFmtId="14" fontId="0" fillId="0" borderId="0" xfId="0" applyNumberFormat="1" applyFont="1" applyFill="1" applyAlignment="1" applyProtection="1" quotePrefix="1">
      <alignment horizontal="left"/>
      <protection/>
    </xf>
    <xf numFmtId="167" fontId="0" fillId="0" borderId="0" xfId="0" applyNumberFormat="1" applyFont="1" applyFill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 quotePrefix="1">
      <alignment horizontal="center"/>
      <protection/>
    </xf>
    <xf numFmtId="167" fontId="1" fillId="0" borderId="6" xfId="0" applyNumberFormat="1" applyFont="1" applyFill="1" applyBorder="1" applyAlignment="1" applyProtection="1">
      <alignment horizontal="center"/>
      <protection/>
    </xf>
    <xf numFmtId="167" fontId="1" fillId="0" borderId="1" xfId="0" applyNumberFormat="1" applyFont="1" applyFill="1" applyBorder="1" applyAlignment="1" applyProtection="1">
      <alignment horizontal="center"/>
      <protection/>
    </xf>
    <xf numFmtId="11" fontId="0" fillId="0" borderId="2" xfId="0" applyNumberFormat="1" applyFont="1" applyFill="1" applyBorder="1" applyAlignment="1" applyProtection="1" quotePrefix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 quotePrefix="1">
      <alignment horizontal="left"/>
      <protection/>
    </xf>
    <xf numFmtId="0" fontId="0" fillId="0" borderId="12" xfId="0" applyFont="1" applyFill="1" applyBorder="1" applyAlignment="1" applyProtection="1">
      <alignment/>
      <protection/>
    </xf>
    <xf numFmtId="1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1" fontId="0" fillId="0" borderId="0" xfId="0" applyNumberFormat="1" applyFont="1" applyFill="1" applyAlignment="1" applyProtection="1" quotePrefix="1">
      <alignment horizontal="left"/>
      <protection/>
    </xf>
    <xf numFmtId="11" fontId="0" fillId="0" borderId="0" xfId="0" applyNumberFormat="1" applyFont="1" applyFill="1" applyAlignment="1" applyProtection="1">
      <alignment horizontal="center"/>
      <protection/>
    </xf>
    <xf numFmtId="15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11" fontId="1" fillId="0" borderId="15" xfId="0" applyNumberFormat="1" applyFont="1" applyFill="1" applyBorder="1" applyAlignment="1" applyProtection="1">
      <alignment/>
      <protection/>
    </xf>
    <xf numFmtId="169" fontId="1" fillId="0" borderId="6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1" fontId="1" fillId="0" borderId="7" xfId="0" applyNumberFormat="1" applyFont="1" applyFill="1" applyBorder="1" applyAlignment="1" applyProtection="1">
      <alignment horizontal="center"/>
      <protection/>
    </xf>
    <xf numFmtId="11" fontId="1" fillId="0" borderId="2" xfId="0" applyNumberFormat="1" applyFont="1" applyFill="1" applyBorder="1" applyAlignment="1" applyProtection="1" quotePrefix="1">
      <alignment horizontal="center"/>
      <protection/>
    </xf>
    <xf numFmtId="169" fontId="1" fillId="0" borderId="2" xfId="0" applyNumberFormat="1" applyFont="1" applyFill="1" applyBorder="1" applyAlignment="1" applyProtection="1">
      <alignment horizontal="center"/>
      <protection/>
    </xf>
    <xf numFmtId="11" fontId="0" fillId="0" borderId="8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11" fontId="1" fillId="0" borderId="7" xfId="0" applyNumberFormat="1" applyFont="1" applyFill="1" applyBorder="1" applyAlignment="1" applyProtection="1">
      <alignment/>
      <protection/>
    </xf>
    <xf numFmtId="11" fontId="1" fillId="0" borderId="6" xfId="0" applyNumberFormat="1" applyFont="1" applyFill="1" applyBorder="1" applyAlignment="1" applyProtection="1" quotePrefix="1">
      <alignment horizontal="left"/>
      <protection/>
    </xf>
    <xf numFmtId="11" fontId="1" fillId="0" borderId="14" xfId="0" applyNumberFormat="1" applyFont="1" applyFill="1" applyBorder="1" applyAlignment="1" applyProtection="1" quotePrefix="1">
      <alignment horizontal="center"/>
      <protection/>
    </xf>
    <xf numFmtId="11" fontId="1" fillId="0" borderId="11" xfId="0" applyNumberFormat="1" applyFont="1" applyFill="1" applyBorder="1" applyAlignment="1" applyProtection="1">
      <alignment/>
      <protection/>
    </xf>
    <xf numFmtId="11" fontId="1" fillId="0" borderId="1" xfId="0" applyNumberFormat="1" applyFont="1" applyFill="1" applyBorder="1" applyAlignment="1" applyProtection="1" quotePrefix="1">
      <alignment horizontal="center"/>
      <protection/>
    </xf>
    <xf numFmtId="11" fontId="1" fillId="0" borderId="12" xfId="0" applyNumberFormat="1" applyFont="1" applyFill="1" applyBorder="1" applyAlignment="1" applyProtection="1" quotePrefix="1">
      <alignment horizontal="center"/>
      <protection/>
    </xf>
    <xf numFmtId="169" fontId="0" fillId="0" borderId="12" xfId="0" applyNumberFormat="1" applyFont="1" applyFill="1" applyBorder="1" applyAlignment="1" applyProtection="1" quotePrefix="1">
      <alignment horizontal="center"/>
      <protection/>
    </xf>
    <xf numFmtId="11" fontId="0" fillId="0" borderId="12" xfId="0" applyNumberFormat="1" applyFont="1" applyFill="1" applyBorder="1" applyAlignment="1" applyProtection="1">
      <alignment horizontal="center"/>
      <protection/>
    </xf>
    <xf numFmtId="11" fontId="0" fillId="0" borderId="13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ephen_t\My%20Documents\DATA\WKSH\RECAP\docupdate03\stUSTWB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&amp;RfD"/>
      <sheetName val="Chem&amp;Phy data"/>
      <sheetName val="Quantitation limits"/>
      <sheetName val="Exposure parameters"/>
      <sheetName val="Soil properties"/>
      <sheetName val="GW1&amp;2"/>
      <sheetName val="GW3NDW"/>
      <sheetName val="GW3DW"/>
      <sheetName val="Soilni"/>
      <sheetName val="Soili"/>
      <sheetName val="SoilGW&amp;Soilsat"/>
      <sheetName val="Sd &amp; DAF Summers"/>
      <sheetName val="Dom D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7.421875" style="37" customWidth="1"/>
    <col min="2" max="2" width="9.57421875" style="37" bestFit="1" customWidth="1"/>
    <col min="3" max="3" width="12.7109375" style="37" customWidth="1"/>
    <col min="4" max="4" width="6.57421875" style="37" customWidth="1"/>
    <col min="5" max="5" width="12.7109375" style="37" customWidth="1"/>
    <col min="6" max="6" width="6.57421875" style="37" customWidth="1"/>
    <col min="7" max="7" width="12.7109375" style="37" customWidth="1"/>
    <col min="8" max="8" width="6.57421875" style="37" customWidth="1"/>
    <col min="9" max="9" width="12.7109375" style="37" customWidth="1"/>
    <col min="10" max="10" width="6.57421875" style="37" customWidth="1"/>
    <col min="11" max="11" width="8.7109375" style="37" customWidth="1"/>
    <col min="12" max="16384" width="7.8515625" style="37" customWidth="1"/>
  </cols>
  <sheetData>
    <row r="1" spans="1:16" ht="14.25">
      <c r="A1" s="155" t="s">
        <v>0</v>
      </c>
      <c r="B1" s="156" t="s">
        <v>1</v>
      </c>
      <c r="C1" s="157" t="s">
        <v>347</v>
      </c>
      <c r="D1" s="157" t="s">
        <v>2</v>
      </c>
      <c r="E1" s="157" t="s">
        <v>348</v>
      </c>
      <c r="F1" s="157" t="s">
        <v>2</v>
      </c>
      <c r="G1" s="157" t="s">
        <v>345</v>
      </c>
      <c r="H1" s="157" t="s">
        <v>2</v>
      </c>
      <c r="I1" s="158" t="s">
        <v>346</v>
      </c>
      <c r="J1" s="157" t="s">
        <v>2</v>
      </c>
      <c r="K1" s="159" t="s">
        <v>3</v>
      </c>
      <c r="L1" s="123"/>
      <c r="M1" s="39"/>
      <c r="N1" s="38"/>
      <c r="O1" s="39"/>
      <c r="P1" s="38"/>
    </row>
    <row r="2" spans="1:16" ht="14.25">
      <c r="A2" s="160"/>
      <c r="B2" s="161"/>
      <c r="C2" s="162" t="s">
        <v>353</v>
      </c>
      <c r="D2" s="162"/>
      <c r="E2" s="162" t="s">
        <v>353</v>
      </c>
      <c r="F2" s="162"/>
      <c r="G2" s="162" t="s">
        <v>4</v>
      </c>
      <c r="H2" s="162"/>
      <c r="I2" s="162" t="s">
        <v>4</v>
      </c>
      <c r="J2" s="162"/>
      <c r="K2" s="163" t="s">
        <v>5</v>
      </c>
      <c r="L2" s="123"/>
      <c r="M2" s="39"/>
      <c r="N2" s="38"/>
      <c r="O2" s="39"/>
      <c r="P2" s="38"/>
    </row>
    <row r="3" spans="1:16" ht="12.75">
      <c r="A3" s="164" t="s">
        <v>6</v>
      </c>
      <c r="B3" s="165" t="s">
        <v>7</v>
      </c>
      <c r="C3" s="166" t="s">
        <v>8</v>
      </c>
      <c r="D3" s="166"/>
      <c r="E3" s="166" t="s">
        <v>8</v>
      </c>
      <c r="F3" s="166"/>
      <c r="G3" s="166">
        <v>0.06</v>
      </c>
      <c r="H3" s="166" t="s">
        <v>9</v>
      </c>
      <c r="I3" s="166">
        <v>0.06</v>
      </c>
      <c r="J3" s="166" t="s">
        <v>10</v>
      </c>
      <c r="K3" s="167">
        <v>0</v>
      </c>
      <c r="L3" s="168" t="s">
        <v>370</v>
      </c>
      <c r="N3" s="38"/>
      <c r="O3" s="44"/>
      <c r="P3" s="38"/>
    </row>
    <row r="4" spans="1:16" ht="12.75">
      <c r="A4" s="164" t="s">
        <v>433</v>
      </c>
      <c r="B4" s="165" t="s">
        <v>434</v>
      </c>
      <c r="C4" s="166" t="s">
        <v>8</v>
      </c>
      <c r="D4" s="166"/>
      <c r="E4" s="166" t="s">
        <v>8</v>
      </c>
      <c r="F4" s="166"/>
      <c r="G4" s="166">
        <v>0.06</v>
      </c>
      <c r="H4" s="166" t="s">
        <v>344</v>
      </c>
      <c r="I4" s="166">
        <v>0.06</v>
      </c>
      <c r="J4" s="166" t="s">
        <v>10</v>
      </c>
      <c r="K4" s="167">
        <v>0</v>
      </c>
      <c r="L4" s="168" t="s">
        <v>435</v>
      </c>
      <c r="N4" s="38"/>
      <c r="O4" s="44"/>
      <c r="P4" s="38"/>
    </row>
    <row r="5" spans="1:16" ht="12.75">
      <c r="A5" s="169" t="s">
        <v>14</v>
      </c>
      <c r="B5" s="170" t="s">
        <v>15</v>
      </c>
      <c r="C5" s="171" t="s">
        <v>8</v>
      </c>
      <c r="D5" s="171"/>
      <c r="E5" s="171" t="s">
        <v>8</v>
      </c>
      <c r="F5" s="171"/>
      <c r="G5" s="171">
        <v>0.3</v>
      </c>
      <c r="H5" s="171" t="s">
        <v>9</v>
      </c>
      <c r="I5" s="171">
        <v>0.3</v>
      </c>
      <c r="J5" s="171" t="s">
        <v>10</v>
      </c>
      <c r="K5" s="172">
        <v>0</v>
      </c>
      <c r="L5" s="168" t="s">
        <v>370</v>
      </c>
      <c r="N5" s="38"/>
      <c r="O5" s="44"/>
      <c r="P5" s="38"/>
    </row>
    <row r="6" spans="1:16" ht="12.75">
      <c r="A6" s="169" t="s">
        <v>19</v>
      </c>
      <c r="B6" s="170" t="s">
        <v>20</v>
      </c>
      <c r="C6" s="171">
        <v>0.029</v>
      </c>
      <c r="D6" s="171" t="s">
        <v>9</v>
      </c>
      <c r="E6" s="171">
        <v>0.029</v>
      </c>
      <c r="F6" s="171" t="s">
        <v>9</v>
      </c>
      <c r="G6" s="171">
        <v>0.004</v>
      </c>
      <c r="H6" s="171" t="s">
        <v>9</v>
      </c>
      <c r="I6" s="171">
        <v>0.0086</v>
      </c>
      <c r="J6" s="171" t="s">
        <v>9</v>
      </c>
      <c r="K6" s="172">
        <v>0</v>
      </c>
      <c r="L6" s="168" t="s">
        <v>370</v>
      </c>
      <c r="N6" s="38"/>
      <c r="O6" s="44"/>
      <c r="P6" s="38"/>
    </row>
    <row r="7" spans="1:16" ht="12.75">
      <c r="A7" s="169" t="s">
        <v>21</v>
      </c>
      <c r="B7" s="170" t="s">
        <v>22</v>
      </c>
      <c r="C7" s="171">
        <v>0.73</v>
      </c>
      <c r="D7" s="171" t="s">
        <v>13</v>
      </c>
      <c r="E7" s="171">
        <v>0.31</v>
      </c>
      <c r="F7" s="171" t="s">
        <v>13</v>
      </c>
      <c r="G7" s="171" t="s">
        <v>8</v>
      </c>
      <c r="H7" s="171"/>
      <c r="I7" s="171" t="s">
        <v>8</v>
      </c>
      <c r="J7" s="171"/>
      <c r="K7" s="172">
        <v>0.13</v>
      </c>
      <c r="L7" s="168" t="s">
        <v>372</v>
      </c>
      <c r="N7" s="38"/>
      <c r="O7" s="44"/>
      <c r="P7" s="38"/>
    </row>
    <row r="8" spans="1:16" ht="12.75">
      <c r="A8" s="169" t="s">
        <v>23</v>
      </c>
      <c r="B8" s="170" t="s">
        <v>24</v>
      </c>
      <c r="C8" s="171">
        <v>7.3</v>
      </c>
      <c r="D8" s="171" t="s">
        <v>9</v>
      </c>
      <c r="E8" s="171">
        <v>3.1</v>
      </c>
      <c r="F8" s="171" t="s">
        <v>13</v>
      </c>
      <c r="G8" s="171" t="s">
        <v>8</v>
      </c>
      <c r="H8" s="171"/>
      <c r="I8" s="171" t="s">
        <v>8</v>
      </c>
      <c r="J8" s="171"/>
      <c r="K8" s="172">
        <v>0.13</v>
      </c>
      <c r="L8" s="168" t="s">
        <v>372</v>
      </c>
      <c r="N8" s="38"/>
      <c r="O8" s="44"/>
      <c r="P8" s="38"/>
    </row>
    <row r="9" spans="1:16" ht="12.75">
      <c r="A9" s="169" t="s">
        <v>25</v>
      </c>
      <c r="B9" s="170" t="s">
        <v>26</v>
      </c>
      <c r="C9" s="171">
        <v>0.73</v>
      </c>
      <c r="D9" s="171" t="s">
        <v>13</v>
      </c>
      <c r="E9" s="171">
        <v>0.31</v>
      </c>
      <c r="F9" s="171" t="s">
        <v>13</v>
      </c>
      <c r="G9" s="171" t="s">
        <v>8</v>
      </c>
      <c r="H9" s="171"/>
      <c r="I9" s="171" t="s">
        <v>8</v>
      </c>
      <c r="J9" s="171"/>
      <c r="K9" s="172">
        <v>0.13</v>
      </c>
      <c r="L9" s="168" t="s">
        <v>372</v>
      </c>
      <c r="N9" s="38"/>
      <c r="O9" s="44"/>
      <c r="P9" s="38"/>
    </row>
    <row r="10" spans="1:16" ht="12.75">
      <c r="A10" s="169" t="s">
        <v>27</v>
      </c>
      <c r="B10" s="170" t="s">
        <v>28</v>
      </c>
      <c r="C10" s="171">
        <v>0.073</v>
      </c>
      <c r="D10" s="171" t="s">
        <v>13</v>
      </c>
      <c r="E10" s="171">
        <v>0.031</v>
      </c>
      <c r="F10" s="171" t="s">
        <v>13</v>
      </c>
      <c r="G10" s="171" t="s">
        <v>8</v>
      </c>
      <c r="H10" s="171"/>
      <c r="I10" s="171" t="s">
        <v>8</v>
      </c>
      <c r="J10" s="171"/>
      <c r="K10" s="172">
        <v>0.13</v>
      </c>
      <c r="L10" s="168" t="s">
        <v>372</v>
      </c>
      <c r="N10" s="38"/>
      <c r="O10" s="44"/>
      <c r="P10" s="38"/>
    </row>
    <row r="11" spans="1:16" ht="12.75">
      <c r="A11" s="169" t="s">
        <v>36</v>
      </c>
      <c r="B11" s="170" t="s">
        <v>37</v>
      </c>
      <c r="C11" s="171">
        <v>0.0073</v>
      </c>
      <c r="D11" s="171" t="s">
        <v>13</v>
      </c>
      <c r="E11" s="171">
        <v>0.0031</v>
      </c>
      <c r="F11" s="171" t="s">
        <v>13</v>
      </c>
      <c r="G11" s="171" t="s">
        <v>8</v>
      </c>
      <c r="H11" s="171"/>
      <c r="I11" s="171" t="s">
        <v>8</v>
      </c>
      <c r="J11" s="171"/>
      <c r="K11" s="172">
        <v>0.13</v>
      </c>
      <c r="L11" s="168" t="s">
        <v>372</v>
      </c>
      <c r="N11" s="38"/>
      <c r="O11" s="44"/>
      <c r="P11" s="38"/>
    </row>
    <row r="12" spans="1:16" ht="12.75">
      <c r="A12" s="169" t="s">
        <v>39</v>
      </c>
      <c r="B12" s="170" t="s">
        <v>40</v>
      </c>
      <c r="C12" s="171">
        <v>7.3</v>
      </c>
      <c r="D12" s="171" t="s">
        <v>13</v>
      </c>
      <c r="E12" s="171">
        <v>3.1</v>
      </c>
      <c r="F12" s="171" t="s">
        <v>13</v>
      </c>
      <c r="G12" s="171" t="s">
        <v>8</v>
      </c>
      <c r="H12" s="171"/>
      <c r="I12" s="171" t="s">
        <v>8</v>
      </c>
      <c r="J12" s="171"/>
      <c r="K12" s="172">
        <v>0.13</v>
      </c>
      <c r="L12" s="168" t="s">
        <v>372</v>
      </c>
      <c r="N12" s="38"/>
      <c r="O12" s="44"/>
      <c r="P12" s="38"/>
    </row>
    <row r="13" spans="1:16" ht="12.75">
      <c r="A13" s="169" t="s">
        <v>44</v>
      </c>
      <c r="B13" s="170" t="s">
        <v>45</v>
      </c>
      <c r="C13" s="171" t="s">
        <v>8</v>
      </c>
      <c r="D13" s="171"/>
      <c r="E13" s="171" t="s">
        <v>8</v>
      </c>
      <c r="F13" s="171"/>
      <c r="G13" s="171">
        <v>0.1</v>
      </c>
      <c r="H13" s="171" t="s">
        <v>9</v>
      </c>
      <c r="I13" s="171">
        <v>0.286</v>
      </c>
      <c r="J13" s="171" t="s">
        <v>9</v>
      </c>
      <c r="K13" s="172">
        <v>0</v>
      </c>
      <c r="L13" s="168" t="s">
        <v>370</v>
      </c>
      <c r="N13" s="38"/>
      <c r="O13" s="44"/>
      <c r="P13" s="38"/>
    </row>
    <row r="14" spans="1:16" ht="12.75">
      <c r="A14" s="169" t="s">
        <v>46</v>
      </c>
      <c r="B14" s="170" t="s">
        <v>47</v>
      </c>
      <c r="C14" s="171" t="s">
        <v>8</v>
      </c>
      <c r="D14" s="171"/>
      <c r="E14" s="171" t="s">
        <v>8</v>
      </c>
      <c r="F14" s="171"/>
      <c r="G14" s="171">
        <v>0.04</v>
      </c>
      <c r="H14" s="171" t="s">
        <v>9</v>
      </c>
      <c r="I14" s="171">
        <v>0.04</v>
      </c>
      <c r="J14" s="171" t="s">
        <v>10</v>
      </c>
      <c r="K14" s="172">
        <v>0.13</v>
      </c>
      <c r="L14" s="168" t="s">
        <v>372</v>
      </c>
      <c r="N14" s="38"/>
      <c r="O14" s="44"/>
      <c r="P14" s="38"/>
    </row>
    <row r="15" spans="1:16" ht="12.75">
      <c r="A15" s="169" t="s">
        <v>48</v>
      </c>
      <c r="B15" s="170" t="s">
        <v>49</v>
      </c>
      <c r="C15" s="171" t="s">
        <v>8</v>
      </c>
      <c r="D15" s="171"/>
      <c r="E15" s="171" t="s">
        <v>8</v>
      </c>
      <c r="F15" s="171"/>
      <c r="G15" s="171">
        <v>0.04</v>
      </c>
      <c r="H15" s="171" t="s">
        <v>9</v>
      </c>
      <c r="I15" s="171">
        <v>0.04</v>
      </c>
      <c r="J15" s="171" t="s">
        <v>10</v>
      </c>
      <c r="K15" s="172">
        <v>0</v>
      </c>
      <c r="L15" s="168" t="s">
        <v>370</v>
      </c>
      <c r="N15" s="38"/>
      <c r="O15" s="44"/>
      <c r="P15" s="38"/>
    </row>
    <row r="16" spans="1:16" ht="12.75">
      <c r="A16" s="169" t="s">
        <v>51</v>
      </c>
      <c r="B16" s="170" t="s">
        <v>52</v>
      </c>
      <c r="C16" s="171">
        <v>0.73</v>
      </c>
      <c r="D16" s="171" t="s">
        <v>13</v>
      </c>
      <c r="E16" s="171">
        <v>0.31</v>
      </c>
      <c r="F16" s="171" t="s">
        <v>13</v>
      </c>
      <c r="G16" s="171" t="s">
        <v>8</v>
      </c>
      <c r="H16" s="171"/>
      <c r="I16" s="171" t="s">
        <v>8</v>
      </c>
      <c r="J16" s="171"/>
      <c r="K16" s="172">
        <v>0.13</v>
      </c>
      <c r="L16" s="168" t="s">
        <v>372</v>
      </c>
      <c r="N16" s="38"/>
      <c r="O16" s="44"/>
      <c r="P16" s="38"/>
    </row>
    <row r="17" spans="1:16" ht="12.75">
      <c r="A17" s="169" t="s">
        <v>54</v>
      </c>
      <c r="B17" s="170" t="s">
        <v>55</v>
      </c>
      <c r="C17" s="171" t="s">
        <v>8</v>
      </c>
      <c r="D17" s="171"/>
      <c r="E17" s="171" t="s">
        <v>8</v>
      </c>
      <c r="F17" s="171"/>
      <c r="G17" s="171" t="s">
        <v>8</v>
      </c>
      <c r="H17" s="171"/>
      <c r="I17" s="171" t="s">
        <v>8</v>
      </c>
      <c r="J17" s="171"/>
      <c r="K17" s="172" t="s">
        <v>56</v>
      </c>
      <c r="L17" s="168" t="s">
        <v>373</v>
      </c>
      <c r="N17" s="38"/>
      <c r="O17" s="44"/>
      <c r="P17" s="38"/>
    </row>
    <row r="18" spans="1:16" ht="12.75">
      <c r="A18" s="169" t="s">
        <v>57</v>
      </c>
      <c r="B18" s="170" t="s">
        <v>58</v>
      </c>
      <c r="C18" s="171" t="s">
        <v>8</v>
      </c>
      <c r="D18" s="171"/>
      <c r="E18" s="171" t="s">
        <v>8</v>
      </c>
      <c r="F18" s="171"/>
      <c r="G18" s="171">
        <v>0.6</v>
      </c>
      <c r="H18" s="171" t="s">
        <v>9</v>
      </c>
      <c r="I18" s="171">
        <v>0.286</v>
      </c>
      <c r="J18" s="171" t="s">
        <v>9</v>
      </c>
      <c r="K18" s="172">
        <v>0</v>
      </c>
      <c r="L18" s="168" t="s">
        <v>371</v>
      </c>
      <c r="N18" s="38"/>
      <c r="O18" s="44"/>
      <c r="P18" s="38"/>
    </row>
    <row r="19" spans="1:16" ht="12.75">
      <c r="A19" s="169" t="s">
        <v>59</v>
      </c>
      <c r="B19" s="170" t="s">
        <v>60</v>
      </c>
      <c r="C19" s="171" t="s">
        <v>8</v>
      </c>
      <c r="D19" s="171"/>
      <c r="E19" s="171" t="s">
        <v>8</v>
      </c>
      <c r="F19" s="171"/>
      <c r="G19" s="171">
        <v>0.08</v>
      </c>
      <c r="H19" s="171" t="s">
        <v>30</v>
      </c>
      <c r="I19" s="171">
        <v>0.86</v>
      </c>
      <c r="J19" s="171" t="s">
        <v>9</v>
      </c>
      <c r="K19" s="172">
        <v>0</v>
      </c>
      <c r="L19" s="168" t="s">
        <v>370</v>
      </c>
      <c r="N19" s="38"/>
      <c r="O19" s="44"/>
      <c r="P19" s="38"/>
    </row>
    <row r="20" spans="1:16" ht="12.75">
      <c r="A20" s="169" t="s">
        <v>436</v>
      </c>
      <c r="B20" s="170" t="s">
        <v>437</v>
      </c>
      <c r="C20" s="171" t="s">
        <v>8</v>
      </c>
      <c r="D20" s="171"/>
      <c r="E20" s="171" t="s">
        <v>8</v>
      </c>
      <c r="F20" s="171"/>
      <c r="G20" s="171">
        <v>0.02</v>
      </c>
      <c r="H20" s="171" t="s">
        <v>344</v>
      </c>
      <c r="I20" s="171">
        <v>0.00086</v>
      </c>
      <c r="J20" s="171" t="s">
        <v>344</v>
      </c>
      <c r="K20" s="172">
        <v>0</v>
      </c>
      <c r="L20" s="168" t="s">
        <v>435</v>
      </c>
      <c r="N20" s="38"/>
      <c r="O20" s="44"/>
      <c r="P20" s="38"/>
    </row>
    <row r="21" spans="1:16" ht="12.75">
      <c r="A21" s="173" t="s">
        <v>61</v>
      </c>
      <c r="B21" s="170" t="s">
        <v>62</v>
      </c>
      <c r="C21" s="171" t="s">
        <v>8</v>
      </c>
      <c r="D21" s="171"/>
      <c r="E21" s="171" t="s">
        <v>8</v>
      </c>
      <c r="F21" s="171"/>
      <c r="G21" s="171">
        <v>0.857</v>
      </c>
      <c r="H21" s="171" t="s">
        <v>35</v>
      </c>
      <c r="I21" s="171">
        <v>0.857</v>
      </c>
      <c r="J21" s="171" t="s">
        <v>9</v>
      </c>
      <c r="K21" s="172">
        <v>0</v>
      </c>
      <c r="L21" s="168" t="s">
        <v>371</v>
      </c>
      <c r="N21" s="38"/>
      <c r="O21" s="44"/>
      <c r="P21" s="38"/>
    </row>
    <row r="22" spans="1:16" ht="12.75">
      <c r="A22" s="169" t="s">
        <v>63</v>
      </c>
      <c r="B22" s="170" t="s">
        <v>64</v>
      </c>
      <c r="C22" s="171" t="s">
        <v>8</v>
      </c>
      <c r="D22" s="171"/>
      <c r="E22" s="171" t="s">
        <v>8</v>
      </c>
      <c r="F22" s="171"/>
      <c r="G22" s="171">
        <v>0.02</v>
      </c>
      <c r="H22" s="171" t="s">
        <v>9</v>
      </c>
      <c r="I22" s="171">
        <v>0.00086</v>
      </c>
      <c r="J22" s="171" t="s">
        <v>9</v>
      </c>
      <c r="K22" s="172">
        <v>0</v>
      </c>
      <c r="L22" s="168" t="s">
        <v>370</v>
      </c>
      <c r="N22" s="38"/>
      <c r="O22" s="44"/>
      <c r="P22" s="38"/>
    </row>
    <row r="23" spans="1:16" ht="12.75">
      <c r="A23" s="169" t="s">
        <v>438</v>
      </c>
      <c r="B23" s="170" t="s">
        <v>439</v>
      </c>
      <c r="C23" s="171" t="s">
        <v>8</v>
      </c>
      <c r="D23" s="171"/>
      <c r="E23" s="171" t="s">
        <v>8</v>
      </c>
      <c r="F23" s="171"/>
      <c r="G23" s="171">
        <v>0.3</v>
      </c>
      <c r="H23" s="171" t="s">
        <v>344</v>
      </c>
      <c r="I23" s="171">
        <v>0.3</v>
      </c>
      <c r="J23" s="171" t="s">
        <v>10</v>
      </c>
      <c r="K23" s="172">
        <v>0</v>
      </c>
      <c r="L23" s="168" t="s">
        <v>435</v>
      </c>
      <c r="N23" s="38"/>
      <c r="O23" s="44"/>
      <c r="P23" s="38"/>
    </row>
    <row r="24" spans="1:16" ht="12.75">
      <c r="A24" s="169" t="s">
        <v>71</v>
      </c>
      <c r="B24" s="170" t="s">
        <v>72</v>
      </c>
      <c r="C24" s="171" t="s">
        <v>8</v>
      </c>
      <c r="D24" s="171"/>
      <c r="E24" s="171" t="s">
        <v>8</v>
      </c>
      <c r="F24" s="171"/>
      <c r="G24" s="171">
        <v>0.03</v>
      </c>
      <c r="H24" s="171" t="s">
        <v>9</v>
      </c>
      <c r="I24" s="171">
        <v>0.03</v>
      </c>
      <c r="J24" s="171" t="s">
        <v>10</v>
      </c>
      <c r="K24" s="172">
        <v>0</v>
      </c>
      <c r="L24" s="168" t="s">
        <v>370</v>
      </c>
      <c r="N24" s="38"/>
      <c r="O24" s="44"/>
      <c r="P24" s="38"/>
    </row>
    <row r="25" spans="1:16" ht="12.75">
      <c r="A25" s="169" t="s">
        <v>76</v>
      </c>
      <c r="B25" s="170" t="s">
        <v>77</v>
      </c>
      <c r="C25" s="171" t="s">
        <v>8</v>
      </c>
      <c r="D25" s="171"/>
      <c r="E25" s="171" t="s">
        <v>8</v>
      </c>
      <c r="F25" s="171"/>
      <c r="G25" s="171">
        <v>0.2</v>
      </c>
      <c r="H25" s="171" t="s">
        <v>9</v>
      </c>
      <c r="I25" s="171">
        <v>0.114</v>
      </c>
      <c r="J25" s="171" t="s">
        <v>9</v>
      </c>
      <c r="K25" s="172">
        <v>0</v>
      </c>
      <c r="L25" s="168" t="s">
        <v>370</v>
      </c>
      <c r="N25" s="38"/>
      <c r="O25" s="44"/>
      <c r="P25" s="38"/>
    </row>
    <row r="26" spans="1:16" ht="12.75">
      <c r="A26" s="169" t="s">
        <v>80</v>
      </c>
      <c r="B26" s="170" t="s">
        <v>81</v>
      </c>
      <c r="C26" s="171" t="s">
        <v>8</v>
      </c>
      <c r="D26" s="171"/>
      <c r="E26" s="171" t="s">
        <v>8</v>
      </c>
      <c r="F26" s="171"/>
      <c r="G26" s="171">
        <v>0.2</v>
      </c>
      <c r="H26" s="171" t="s">
        <v>9</v>
      </c>
      <c r="I26" s="171">
        <v>0.029</v>
      </c>
      <c r="J26" s="171" t="s">
        <v>9</v>
      </c>
      <c r="K26" s="172">
        <v>0</v>
      </c>
      <c r="L26" s="168" t="s">
        <v>370</v>
      </c>
      <c r="N26" s="38"/>
      <c r="O26" s="44"/>
      <c r="P26" s="38"/>
    </row>
    <row r="27" spans="1:16" ht="12.75">
      <c r="A27" s="169" t="s">
        <v>82</v>
      </c>
      <c r="B27" s="170" t="s">
        <v>83</v>
      </c>
      <c r="C27" s="171" t="s">
        <v>8</v>
      </c>
      <c r="D27" s="171"/>
      <c r="E27" s="171" t="s">
        <v>8</v>
      </c>
      <c r="F27" s="171"/>
      <c r="G27" s="171">
        <v>5</v>
      </c>
      <c r="H27" s="171" t="s">
        <v>84</v>
      </c>
      <c r="I27" s="171">
        <v>5.3</v>
      </c>
      <c r="J27" s="171" t="s">
        <v>84</v>
      </c>
      <c r="K27" s="172">
        <v>0</v>
      </c>
      <c r="L27" s="168" t="s">
        <v>370</v>
      </c>
      <c r="N27" s="38"/>
      <c r="O27" s="44"/>
      <c r="P27" s="38"/>
    </row>
    <row r="28" spans="1:16" ht="12.75">
      <c r="A28" s="169" t="s">
        <v>85</v>
      </c>
      <c r="B28" s="170" t="s">
        <v>83</v>
      </c>
      <c r="C28" s="171" t="s">
        <v>8</v>
      </c>
      <c r="D28" s="171"/>
      <c r="E28" s="171" t="s">
        <v>8</v>
      </c>
      <c r="F28" s="171"/>
      <c r="G28" s="171">
        <v>0.1</v>
      </c>
      <c r="H28" s="171" t="s">
        <v>84</v>
      </c>
      <c r="I28" s="171">
        <v>0.29</v>
      </c>
      <c r="J28" s="171" t="s">
        <v>84</v>
      </c>
      <c r="K28" s="172">
        <v>0</v>
      </c>
      <c r="L28" s="168" t="s">
        <v>370</v>
      </c>
      <c r="N28" s="38"/>
      <c r="O28" s="44"/>
      <c r="P28" s="38"/>
    </row>
    <row r="29" spans="1:16" ht="12.75">
      <c r="A29" s="169" t="s">
        <v>86</v>
      </c>
      <c r="B29" s="170" t="s">
        <v>83</v>
      </c>
      <c r="C29" s="171" t="s">
        <v>8</v>
      </c>
      <c r="D29" s="171"/>
      <c r="E29" s="171" t="s">
        <v>8</v>
      </c>
      <c r="F29" s="171"/>
      <c r="G29" s="171">
        <v>0.1</v>
      </c>
      <c r="H29" s="171" t="s">
        <v>84</v>
      </c>
      <c r="I29" s="171">
        <v>0.3</v>
      </c>
      <c r="J29" s="171" t="s">
        <v>84</v>
      </c>
      <c r="K29" s="172">
        <v>0</v>
      </c>
      <c r="L29" s="168" t="s">
        <v>370</v>
      </c>
      <c r="N29" s="38"/>
      <c r="O29" s="44"/>
      <c r="P29" s="38"/>
    </row>
    <row r="30" spans="1:16" ht="12.75">
      <c r="A30" s="169" t="s">
        <v>87</v>
      </c>
      <c r="B30" s="170" t="s">
        <v>83</v>
      </c>
      <c r="C30" s="171" t="s">
        <v>8</v>
      </c>
      <c r="D30" s="171"/>
      <c r="E30" s="171" t="s">
        <v>8</v>
      </c>
      <c r="F30" s="171"/>
      <c r="G30" s="171">
        <v>0.1</v>
      </c>
      <c r="H30" s="171" t="s">
        <v>84</v>
      </c>
      <c r="I30" s="171">
        <v>0.3</v>
      </c>
      <c r="J30" s="171" t="s">
        <v>84</v>
      </c>
      <c r="K30" s="172">
        <v>0</v>
      </c>
      <c r="L30" s="168" t="s">
        <v>370</v>
      </c>
      <c r="N30" s="38"/>
      <c r="O30" s="44"/>
      <c r="P30" s="38"/>
    </row>
    <row r="31" spans="1:16" ht="12.75">
      <c r="A31" s="169" t="s">
        <v>499</v>
      </c>
      <c r="B31" s="170" t="s">
        <v>83</v>
      </c>
      <c r="C31" s="171" t="s">
        <v>8</v>
      </c>
      <c r="D31" s="171"/>
      <c r="E31" s="171" t="s">
        <v>8</v>
      </c>
      <c r="F31" s="171"/>
      <c r="G31" s="171">
        <v>2</v>
      </c>
      <c r="H31" s="171" t="s">
        <v>84</v>
      </c>
      <c r="I31" s="171">
        <v>2</v>
      </c>
      <c r="J31" s="171" t="s">
        <v>10</v>
      </c>
      <c r="K31" s="172">
        <v>0.1</v>
      </c>
      <c r="L31" s="168" t="s">
        <v>372</v>
      </c>
      <c r="N31" s="38"/>
      <c r="O31" s="44"/>
      <c r="P31" s="38"/>
    </row>
    <row r="32" spans="1:16" ht="12.75">
      <c r="A32" s="169" t="s">
        <v>88</v>
      </c>
      <c r="B32" s="170" t="s">
        <v>83</v>
      </c>
      <c r="C32" s="171" t="s">
        <v>8</v>
      </c>
      <c r="D32" s="171"/>
      <c r="E32" s="171" t="s">
        <v>8</v>
      </c>
      <c r="F32" s="171"/>
      <c r="G32" s="171">
        <v>0.04</v>
      </c>
      <c r="H32" s="171" t="s">
        <v>84</v>
      </c>
      <c r="I32" s="171">
        <v>0.06</v>
      </c>
      <c r="J32" s="171" t="s">
        <v>84</v>
      </c>
      <c r="K32" s="172">
        <v>0</v>
      </c>
      <c r="L32" s="168" t="s">
        <v>370</v>
      </c>
      <c r="N32" s="38"/>
      <c r="O32" s="44"/>
      <c r="P32" s="38"/>
    </row>
    <row r="33" spans="1:16" ht="12.75">
      <c r="A33" s="169" t="s">
        <v>89</v>
      </c>
      <c r="B33" s="170" t="s">
        <v>83</v>
      </c>
      <c r="C33" s="171" t="s">
        <v>8</v>
      </c>
      <c r="D33" s="171"/>
      <c r="E33" s="171" t="s">
        <v>8</v>
      </c>
      <c r="F33" s="171"/>
      <c r="G33" s="171">
        <v>0.04</v>
      </c>
      <c r="H33" s="171" t="s">
        <v>84</v>
      </c>
      <c r="I33" s="171">
        <v>0.06</v>
      </c>
      <c r="J33" s="171" t="s">
        <v>84</v>
      </c>
      <c r="K33" s="172">
        <v>0</v>
      </c>
      <c r="L33" s="168" t="s">
        <v>370</v>
      </c>
      <c r="N33" s="38"/>
      <c r="O33" s="44"/>
      <c r="P33" s="38"/>
    </row>
    <row r="34" spans="1:16" ht="12.75">
      <c r="A34" s="169" t="s">
        <v>90</v>
      </c>
      <c r="B34" s="170" t="s">
        <v>83</v>
      </c>
      <c r="C34" s="171" t="s">
        <v>8</v>
      </c>
      <c r="D34" s="171"/>
      <c r="E34" s="171" t="s">
        <v>8</v>
      </c>
      <c r="F34" s="171"/>
      <c r="G34" s="171">
        <v>0.04</v>
      </c>
      <c r="H34" s="171" t="s">
        <v>84</v>
      </c>
      <c r="I34" s="171">
        <v>0.06</v>
      </c>
      <c r="J34" s="171" t="s">
        <v>84</v>
      </c>
      <c r="K34" s="172">
        <v>0</v>
      </c>
      <c r="L34" s="168" t="s">
        <v>370</v>
      </c>
      <c r="N34" s="38"/>
      <c r="O34" s="44"/>
      <c r="P34" s="38"/>
    </row>
    <row r="35" spans="1:16" ht="12.75">
      <c r="A35" s="169" t="s">
        <v>91</v>
      </c>
      <c r="B35" s="170" t="s">
        <v>83</v>
      </c>
      <c r="C35" s="171" t="s">
        <v>8</v>
      </c>
      <c r="D35" s="171"/>
      <c r="E35" s="171" t="s">
        <v>8</v>
      </c>
      <c r="F35" s="171"/>
      <c r="G35" s="171">
        <v>0.03</v>
      </c>
      <c r="H35" s="171" t="s">
        <v>84</v>
      </c>
      <c r="I35" s="171">
        <v>0.03</v>
      </c>
      <c r="J35" s="171" t="s">
        <v>10</v>
      </c>
      <c r="K35" s="172">
        <v>0.1</v>
      </c>
      <c r="L35" s="168" t="s">
        <v>372</v>
      </c>
      <c r="N35" s="38"/>
      <c r="O35" s="44"/>
      <c r="P35" s="38"/>
    </row>
    <row r="36" spans="1:16" ht="12.75">
      <c r="A36" s="160" t="s">
        <v>500</v>
      </c>
      <c r="B36" s="161" t="s">
        <v>83</v>
      </c>
      <c r="C36" s="174" t="s">
        <v>8</v>
      </c>
      <c r="D36" s="174"/>
      <c r="E36" s="174" t="s">
        <v>8</v>
      </c>
      <c r="F36" s="174"/>
      <c r="G36" s="174">
        <v>0.03</v>
      </c>
      <c r="H36" s="174" t="s">
        <v>84</v>
      </c>
      <c r="I36" s="174">
        <v>0.03</v>
      </c>
      <c r="J36" s="174" t="s">
        <v>10</v>
      </c>
      <c r="K36" s="175">
        <v>0.1</v>
      </c>
      <c r="L36" s="168" t="s">
        <v>372</v>
      </c>
      <c r="N36" s="38"/>
      <c r="O36" s="44"/>
      <c r="P36" s="38"/>
    </row>
    <row r="37" spans="1:16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76"/>
      <c r="M37" s="38"/>
      <c r="N37" s="38"/>
      <c r="O37" s="38"/>
      <c r="P37" s="38"/>
    </row>
    <row r="38" spans="1:16" ht="12.75">
      <c r="A38" s="119" t="s">
        <v>441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76"/>
      <c r="M38" s="38"/>
      <c r="N38" s="38"/>
      <c r="O38" s="38"/>
      <c r="P38" s="38"/>
    </row>
    <row r="39" spans="1:16" ht="12.75">
      <c r="A39" s="119" t="s">
        <v>442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76"/>
      <c r="M39" s="38"/>
      <c r="N39" s="38"/>
      <c r="O39" s="38"/>
      <c r="P39" s="38"/>
    </row>
    <row r="40" spans="1:16" ht="12.75">
      <c r="A40" s="119" t="s">
        <v>443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76"/>
      <c r="M40" s="38"/>
      <c r="N40" s="38"/>
      <c r="O40" s="38"/>
      <c r="P40" s="38"/>
    </row>
    <row r="41" spans="1:16" ht="12.75">
      <c r="A41" s="119" t="s">
        <v>444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76"/>
      <c r="M41" s="38"/>
      <c r="N41" s="38"/>
      <c r="O41" s="38"/>
      <c r="P41" s="38"/>
    </row>
    <row r="42" spans="1:16" ht="12.75">
      <c r="A42" s="119" t="s">
        <v>445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76"/>
      <c r="M42" s="38"/>
      <c r="N42" s="38"/>
      <c r="O42" s="38"/>
      <c r="P42" s="38"/>
    </row>
    <row r="43" spans="1:16" ht="12.75">
      <c r="A43" s="119" t="s">
        <v>446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76"/>
      <c r="M43" s="38"/>
      <c r="N43" s="38"/>
      <c r="O43" s="38"/>
      <c r="P43" s="38"/>
    </row>
    <row r="44" spans="1:16" ht="12.75">
      <c r="A44" s="119" t="s">
        <v>447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76"/>
      <c r="M44" s="38"/>
      <c r="N44" s="38"/>
      <c r="O44" s="38"/>
      <c r="P44" s="38"/>
    </row>
    <row r="45" spans="1:16" ht="12.75">
      <c r="A45" s="119" t="s">
        <v>448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76"/>
      <c r="M45" s="38"/>
      <c r="N45" s="38"/>
      <c r="O45" s="38"/>
      <c r="P45" s="38"/>
    </row>
    <row r="46" spans="1:16" ht="12.75">
      <c r="A46" s="119" t="s">
        <v>449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76"/>
      <c r="M46" s="38"/>
      <c r="N46" s="38"/>
      <c r="O46" s="38"/>
      <c r="P46" s="38"/>
    </row>
    <row r="47" spans="1:16" ht="12.75">
      <c r="A47" s="119" t="s">
        <v>450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76"/>
      <c r="M47" s="38"/>
      <c r="N47" s="38"/>
      <c r="O47" s="38"/>
      <c r="P47" s="38"/>
    </row>
    <row r="48" spans="1:16" ht="12.75">
      <c r="A48" s="119" t="s">
        <v>451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38"/>
      <c r="N48" s="38"/>
      <c r="O48" s="38"/>
      <c r="P48" s="38"/>
    </row>
    <row r="49" spans="13:16" ht="12.75">
      <c r="M49" s="38"/>
      <c r="N49" s="38"/>
      <c r="O49" s="38"/>
      <c r="P49" s="38"/>
    </row>
    <row r="50" spans="13:16" ht="12.75">
      <c r="M50" s="38"/>
      <c r="N50" s="38"/>
      <c r="O50" s="38"/>
      <c r="P50" s="38"/>
    </row>
    <row r="51" spans="13:16" ht="12.75">
      <c r="M51" s="38"/>
      <c r="N51" s="38"/>
      <c r="O51" s="38"/>
      <c r="P51" s="38"/>
    </row>
    <row r="52" spans="13:16" ht="12.75">
      <c r="M52" s="38"/>
      <c r="N52" s="38"/>
      <c r="O52" s="38"/>
      <c r="P52" s="38"/>
    </row>
    <row r="53" spans="13:16" ht="12.75">
      <c r="M53" s="38"/>
      <c r="N53" s="38"/>
      <c r="O53" s="38"/>
      <c r="P53" s="38"/>
    </row>
    <row r="54" spans="13:16" ht="12.75">
      <c r="M54" s="38"/>
      <c r="N54" s="38"/>
      <c r="O54" s="38"/>
      <c r="P54" s="38"/>
    </row>
    <row r="55" spans="1:16" ht="12.75">
      <c r="A55" s="37" t="s">
        <v>213</v>
      </c>
      <c r="M55" s="38"/>
      <c r="N55" s="38"/>
      <c r="O55" s="38"/>
      <c r="P55" s="38"/>
    </row>
    <row r="56" spans="1:16" ht="12.75">
      <c r="A56" s="112" t="s">
        <v>365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M56" s="38"/>
      <c r="N56" s="38"/>
      <c r="O56" s="38"/>
      <c r="P56" s="38"/>
    </row>
    <row r="57" spans="1:16" ht="12.75">
      <c r="A57" s="112" t="s">
        <v>19</v>
      </c>
      <c r="B57" s="113" t="s">
        <v>20</v>
      </c>
      <c r="C57" s="114">
        <v>0.029</v>
      </c>
      <c r="D57" s="114" t="s">
        <v>9</v>
      </c>
      <c r="E57" s="114">
        <v>0.029</v>
      </c>
      <c r="F57" s="114" t="s">
        <v>9</v>
      </c>
      <c r="G57" s="114">
        <v>0.003</v>
      </c>
      <c r="H57" s="114" t="s">
        <v>13</v>
      </c>
      <c r="I57" s="114">
        <v>0.00171</v>
      </c>
      <c r="J57" s="114" t="s">
        <v>13</v>
      </c>
      <c r="K57" s="31">
        <v>0.1</v>
      </c>
      <c r="M57" s="38"/>
      <c r="N57" s="38"/>
      <c r="O57" s="38"/>
      <c r="P57" s="38"/>
    </row>
    <row r="58" spans="1:16" ht="12.75">
      <c r="A58" s="112" t="s">
        <v>19</v>
      </c>
      <c r="B58" s="113" t="s">
        <v>20</v>
      </c>
      <c r="C58" s="114">
        <v>0.029</v>
      </c>
      <c r="D58" s="114" t="s">
        <v>9</v>
      </c>
      <c r="E58" s="114">
        <v>0.029</v>
      </c>
      <c r="F58" s="114" t="s">
        <v>9</v>
      </c>
      <c r="G58" s="114">
        <v>0.003</v>
      </c>
      <c r="H58" s="114" t="s">
        <v>13</v>
      </c>
      <c r="I58" s="114">
        <v>0.00171</v>
      </c>
      <c r="J58" s="114" t="s">
        <v>13</v>
      </c>
      <c r="K58" s="31">
        <v>0.1</v>
      </c>
      <c r="M58" s="38"/>
      <c r="N58" s="38"/>
      <c r="O58" s="38"/>
      <c r="P58" s="38"/>
    </row>
    <row r="59" spans="1:16" ht="12.75">
      <c r="A59" s="112" t="s">
        <v>19</v>
      </c>
      <c r="B59" s="113" t="s">
        <v>20</v>
      </c>
      <c r="C59" s="114">
        <v>0.029</v>
      </c>
      <c r="D59" s="114" t="s">
        <v>9</v>
      </c>
      <c r="E59" s="114">
        <v>0.029</v>
      </c>
      <c r="F59" s="114" t="s">
        <v>9</v>
      </c>
      <c r="G59" s="114">
        <v>0.003</v>
      </c>
      <c r="H59" s="114" t="s">
        <v>13</v>
      </c>
      <c r="I59" s="114">
        <v>0.00171</v>
      </c>
      <c r="J59" s="114" t="s">
        <v>13</v>
      </c>
      <c r="K59" s="31">
        <v>0.1</v>
      </c>
      <c r="M59" s="38"/>
      <c r="N59" s="38"/>
      <c r="O59" s="38"/>
      <c r="P59" s="38"/>
    </row>
    <row r="60" spans="1:16" ht="12.75">
      <c r="A60" s="112" t="s">
        <v>19</v>
      </c>
      <c r="B60" s="113" t="s">
        <v>20</v>
      </c>
      <c r="C60" s="114">
        <v>0.029</v>
      </c>
      <c r="D60" s="114" t="s">
        <v>9</v>
      </c>
      <c r="E60" s="114">
        <v>0.029</v>
      </c>
      <c r="F60" s="114" t="s">
        <v>9</v>
      </c>
      <c r="G60" s="114">
        <v>0.003</v>
      </c>
      <c r="H60" s="114" t="s">
        <v>13</v>
      </c>
      <c r="I60" s="114">
        <v>0.00171</v>
      </c>
      <c r="J60" s="114" t="s">
        <v>13</v>
      </c>
      <c r="K60" s="31">
        <v>0.1</v>
      </c>
      <c r="M60" s="38"/>
      <c r="N60" s="38"/>
      <c r="O60" s="38"/>
      <c r="P60" s="38"/>
    </row>
    <row r="61" spans="1:16" ht="12.75">
      <c r="A61" s="112" t="s">
        <v>19</v>
      </c>
      <c r="B61" s="113" t="s">
        <v>20</v>
      </c>
      <c r="C61" s="114">
        <v>0.029</v>
      </c>
      <c r="D61" s="114" t="s">
        <v>9</v>
      </c>
      <c r="E61" s="114">
        <v>0.029</v>
      </c>
      <c r="F61" s="114" t="s">
        <v>9</v>
      </c>
      <c r="G61" s="114">
        <v>0.003</v>
      </c>
      <c r="H61" s="114" t="s">
        <v>13</v>
      </c>
      <c r="I61" s="114">
        <v>0.00171</v>
      </c>
      <c r="J61" s="114" t="s">
        <v>13</v>
      </c>
      <c r="K61" s="31">
        <v>0.1</v>
      </c>
      <c r="M61" s="38"/>
      <c r="N61" s="38"/>
      <c r="O61" s="38"/>
      <c r="P61" s="38"/>
    </row>
    <row r="62" spans="1:16" ht="12.75">
      <c r="A62" s="112" t="s">
        <v>19</v>
      </c>
      <c r="B62" s="113" t="s">
        <v>20</v>
      </c>
      <c r="C62" s="114">
        <v>0.029</v>
      </c>
      <c r="D62" s="114" t="s">
        <v>9</v>
      </c>
      <c r="E62" s="114">
        <v>0.029</v>
      </c>
      <c r="F62" s="114" t="s">
        <v>9</v>
      </c>
      <c r="G62" s="114">
        <v>0.003</v>
      </c>
      <c r="H62" s="114" t="s">
        <v>13</v>
      </c>
      <c r="I62" s="114">
        <v>0.00171</v>
      </c>
      <c r="J62" s="114" t="s">
        <v>13</v>
      </c>
      <c r="K62" s="31">
        <v>0.1</v>
      </c>
      <c r="M62" s="38"/>
      <c r="N62" s="38"/>
      <c r="O62" s="38"/>
      <c r="P62" s="38"/>
    </row>
    <row r="63" spans="1:16" ht="12.75">
      <c r="A63" s="112" t="s">
        <v>361</v>
      </c>
      <c r="B63" s="113" t="s">
        <v>360</v>
      </c>
      <c r="C63" s="114">
        <v>0.046</v>
      </c>
      <c r="D63" s="114" t="s">
        <v>10</v>
      </c>
      <c r="E63" s="114">
        <v>0.046</v>
      </c>
      <c r="F63" s="114" t="s">
        <v>9</v>
      </c>
      <c r="G63" s="114">
        <v>0.2</v>
      </c>
      <c r="H63" s="114" t="s">
        <v>9</v>
      </c>
      <c r="I63" s="114">
        <v>0.2</v>
      </c>
      <c r="J63" s="114" t="s">
        <v>10</v>
      </c>
      <c r="K63" s="31">
        <v>0.1</v>
      </c>
      <c r="M63" s="38"/>
      <c r="N63" s="38"/>
      <c r="O63" s="38"/>
      <c r="P63" s="38"/>
    </row>
    <row r="64" spans="1:16" ht="12.75">
      <c r="A64" s="112"/>
      <c r="B64" s="113"/>
      <c r="C64" s="114"/>
      <c r="D64" s="114"/>
      <c r="E64" s="114"/>
      <c r="F64" s="114"/>
      <c r="G64" s="114"/>
      <c r="H64" s="114"/>
      <c r="I64" s="114"/>
      <c r="J64" s="114"/>
      <c r="K64" s="31"/>
      <c r="M64" s="38"/>
      <c r="N64" s="38"/>
      <c r="O64" s="38"/>
      <c r="P64" s="38"/>
    </row>
    <row r="65" spans="1:16" ht="12.75">
      <c r="A65" s="112"/>
      <c r="B65" s="113"/>
      <c r="C65" s="114"/>
      <c r="D65" s="114"/>
      <c r="E65" s="114"/>
      <c r="F65" s="114"/>
      <c r="G65" s="114"/>
      <c r="H65" s="114"/>
      <c r="I65" s="114"/>
      <c r="J65" s="114"/>
      <c r="K65" s="31"/>
      <c r="M65" s="38"/>
      <c r="N65" s="38"/>
      <c r="O65" s="38"/>
      <c r="P65" s="38"/>
    </row>
    <row r="66" spans="1:16" ht="12.75">
      <c r="A66" s="112" t="s">
        <v>364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M66" s="38"/>
      <c r="N66" s="38"/>
      <c r="O66" s="38"/>
      <c r="P66" s="38"/>
    </row>
    <row r="67" spans="1:16" ht="12.75">
      <c r="A67" s="112" t="s">
        <v>16</v>
      </c>
      <c r="B67" s="113" t="s">
        <v>17</v>
      </c>
      <c r="C67" s="114" t="s">
        <v>8</v>
      </c>
      <c r="D67" s="114"/>
      <c r="E67" s="114" t="s">
        <v>8</v>
      </c>
      <c r="F67" s="114"/>
      <c r="G67" s="114">
        <v>0.0004</v>
      </c>
      <c r="H67" s="114" t="s">
        <v>9</v>
      </c>
      <c r="I67" s="114">
        <v>0.0004</v>
      </c>
      <c r="J67" s="114" t="s">
        <v>10</v>
      </c>
      <c r="K67" s="31">
        <v>0.01</v>
      </c>
      <c r="M67" s="38"/>
      <c r="N67" s="38"/>
      <c r="O67" s="38"/>
      <c r="P67" s="38"/>
    </row>
    <row r="68" spans="1:16" ht="12.75">
      <c r="A68" s="112" t="s">
        <v>16</v>
      </c>
      <c r="B68" s="113" t="s">
        <v>17</v>
      </c>
      <c r="C68" s="114" t="s">
        <v>8</v>
      </c>
      <c r="D68" s="114"/>
      <c r="E68" s="114" t="s">
        <v>8</v>
      </c>
      <c r="F68" s="114"/>
      <c r="G68" s="114">
        <v>0.0004</v>
      </c>
      <c r="H68" s="114" t="s">
        <v>9</v>
      </c>
      <c r="I68" s="114">
        <v>0.0004</v>
      </c>
      <c r="J68" s="114" t="s">
        <v>10</v>
      </c>
      <c r="K68" s="31">
        <v>0.01</v>
      </c>
      <c r="M68" s="38"/>
      <c r="N68" s="38"/>
      <c r="O68" s="38"/>
      <c r="P68" s="38"/>
    </row>
    <row r="69" spans="1:16" ht="12.75">
      <c r="A69" s="112" t="s">
        <v>16</v>
      </c>
      <c r="B69" s="113" t="s">
        <v>17</v>
      </c>
      <c r="C69" s="114" t="s">
        <v>8</v>
      </c>
      <c r="D69" s="114"/>
      <c r="E69" s="114" t="s">
        <v>8</v>
      </c>
      <c r="F69" s="114"/>
      <c r="G69" s="114">
        <v>0.0004</v>
      </c>
      <c r="H69" s="114" t="s">
        <v>9</v>
      </c>
      <c r="I69" s="114">
        <v>0.0004</v>
      </c>
      <c r="J69" s="114" t="s">
        <v>10</v>
      </c>
      <c r="K69" s="31">
        <v>0.01</v>
      </c>
      <c r="M69" s="38"/>
      <c r="N69" s="38"/>
      <c r="O69" s="38"/>
      <c r="P69" s="38"/>
    </row>
    <row r="70" spans="13:16" ht="12.75">
      <c r="M70" s="38"/>
      <c r="N70" s="38"/>
      <c r="O70" s="38"/>
      <c r="P70" s="38"/>
    </row>
    <row r="71" spans="13:16" ht="12.75">
      <c r="M71" s="38"/>
      <c r="N71" s="38"/>
      <c r="O71" s="38"/>
      <c r="P71" s="38"/>
    </row>
    <row r="72" spans="13:16" ht="12.75">
      <c r="M72" s="38"/>
      <c r="N72" s="38"/>
      <c r="O72" s="38"/>
      <c r="P72" s="38"/>
    </row>
    <row r="73" spans="13:16" ht="12.75">
      <c r="M73" s="38"/>
      <c r="N73" s="38"/>
      <c r="O73" s="38"/>
      <c r="P73" s="38"/>
    </row>
    <row r="74" spans="13:16" ht="12.75">
      <c r="M74" s="38"/>
      <c r="N74" s="38"/>
      <c r="O74" s="38"/>
      <c r="P74" s="38"/>
    </row>
    <row r="75" spans="1:16" ht="12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ht="12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1:16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1:16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1:16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1:16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1:16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1:16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1:16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1:16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1:16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1:16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1:16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1:16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1:16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1:16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1:16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6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1:16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16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</row>
    <row r="104" spans="1:16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</row>
    <row r="106" spans="1:16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</row>
    <row r="107" spans="1:16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6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</row>
    <row r="109" spans="1:16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</row>
    <row r="110" spans="1:16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6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</row>
    <row r="112" spans="1:16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1:16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1:16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</row>
    <row r="116" spans="1:16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ht="12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</row>
    <row r="118" spans="1:16" ht="12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</row>
    <row r="119" spans="1:16" ht="12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ht="12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</row>
    <row r="121" spans="1:16" ht="12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</row>
    <row r="122" spans="1:16" ht="12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ht="12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</row>
    <row r="124" spans="1:16" ht="12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</row>
    <row r="125" spans="1:16" ht="12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ht="12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</row>
    <row r="127" spans="1:16" ht="12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ht="12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ht="12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1:16" ht="12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1:16" ht="12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ht="12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1:16" ht="12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1:16" ht="12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ht="12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</row>
    <row r="136" spans="1:16" ht="12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1:16" ht="12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ht="12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1:16" ht="12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ht="12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ht="12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</row>
    <row r="142" spans="1:16" ht="12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1:16" ht="12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ht="12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1:16" ht="12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1:16" ht="12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ht="12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1:16" ht="12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1:16" ht="12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ht="12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6" ht="12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ht="12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ht="12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1:16" ht="12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1:16" ht="12.7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ht="12.7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ht="12.7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ht="12.7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ht="12.7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ht="12.7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ht="12.7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ht="12.7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1:16" ht="12.7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</row>
    <row r="165" spans="1:16" ht="12.7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</row>
    <row r="166" spans="1:16" ht="12.7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</row>
    <row r="167" spans="1:16" ht="12.7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ht="12.7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</row>
    <row r="169" spans="1:16" ht="12.7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</row>
    <row r="170" spans="1:16" ht="12.7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ht="12.7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</row>
    <row r="172" spans="1:16" ht="12.7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</row>
    <row r="173" spans="1:16" ht="12.7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  <row r="174" spans="1:16" ht="12.7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1:16" ht="12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1:16" ht="12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1:16" ht="12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1:16" ht="12.7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1:16" ht="12.7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1:16" ht="12.7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1:16" ht="12.7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</row>
    <row r="182" spans="1:16" ht="12.7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1:16" ht="12.7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1:16" ht="12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1:16" ht="12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1:16" ht="12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1:16" ht="12.7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1:16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1:16" ht="12.7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1:16" ht="12.7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1:16" ht="12.7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</row>
    <row r="192" spans="1:16" ht="12.7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</row>
    <row r="193" spans="1:16" ht="12.7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</row>
    <row r="194" spans="1:16" ht="12.7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</row>
    <row r="195" spans="1:16" ht="12.7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</row>
    <row r="196" spans="1:16" ht="12.7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</row>
    <row r="197" spans="1:16" ht="12.7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</row>
    <row r="198" spans="1:16" ht="12.7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</row>
    <row r="199" spans="1:16" ht="12.7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1:16" ht="12.7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1:16" ht="12.7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</sheetData>
  <sheetProtection password="C596" sheet="1" objects="1" scenarios="1"/>
  <printOptions horizontalCentered="1"/>
  <pageMargins left="0.75" right="0.75" top="1.5" bottom="0.75" header="0.5" footer="0.5"/>
  <pageSetup horizontalDpi="300" verticalDpi="300" orientation="landscape" r:id="rId1"/>
  <headerFooter alignWithMargins="0">
    <oddHeader>&amp;CLDEQ RECAP
APPENDIX I&amp;"Courier,Regular"
&amp;"Arial,Regular"TABLE I17
CANCER SLOPE FACTORS AND REFERENCE DOSES</oddHeader>
    <oddFooter>&amp;L&amp;8NOTE: See end of table for designation of letters and symbols.&amp;CTI17 - &amp;P</oddFooter>
  </headerFooter>
  <rowBreaks count="2" manualBreakCount="2">
    <brk id="31" max="10" man="1"/>
    <brk id="15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27.421875" style="37" customWidth="1"/>
    <col min="2" max="2" width="11.8515625" style="37" bestFit="1" customWidth="1"/>
    <col min="3" max="3" width="10.140625" style="37" customWidth="1"/>
    <col min="4" max="4" width="9.00390625" style="37" customWidth="1"/>
    <col min="5" max="5" width="8.421875" style="37" customWidth="1"/>
    <col min="6" max="6" width="9.00390625" style="37" customWidth="1"/>
    <col min="7" max="7" width="12.7109375" style="37" customWidth="1"/>
    <col min="8" max="8" width="7.421875" style="37" customWidth="1"/>
    <col min="9" max="16384" width="7.8515625" style="37" customWidth="1"/>
  </cols>
  <sheetData>
    <row r="1" spans="1:10" ht="12.75">
      <c r="A1" s="197" t="s">
        <v>462</v>
      </c>
      <c r="B1" s="123"/>
      <c r="C1" s="198" t="s">
        <v>492</v>
      </c>
      <c r="D1" s="201"/>
      <c r="E1" s="123"/>
      <c r="F1" s="123"/>
      <c r="G1" s="123"/>
      <c r="H1" s="123"/>
      <c r="I1" s="7"/>
      <c r="J1" s="7"/>
    </row>
    <row r="2" spans="1:10" ht="12.75">
      <c r="A2" s="195" t="str">
        <f>Soilni!$A$2</f>
        <v>Revision Date: 08/04/2003</v>
      </c>
      <c r="B2" s="218" t="str">
        <f>Soilni!$B$2</f>
        <v>Run date:</v>
      </c>
      <c r="C2" s="219">
        <f>Soilni!$C$2</f>
        <v>37932</v>
      </c>
      <c r="D2" s="123"/>
      <c r="E2" s="196"/>
      <c r="F2" s="123"/>
      <c r="G2" s="123"/>
      <c r="H2" s="123"/>
      <c r="I2" s="7"/>
      <c r="J2" s="7"/>
    </row>
    <row r="3" spans="1:10" ht="12.75">
      <c r="A3" s="123"/>
      <c r="B3" s="123"/>
      <c r="C3" s="123"/>
      <c r="D3" s="123"/>
      <c r="E3" s="123"/>
      <c r="F3" s="123"/>
      <c r="G3" s="123"/>
      <c r="H3" s="123"/>
      <c r="I3" s="7"/>
      <c r="J3" s="7"/>
    </row>
    <row r="4" spans="1:10" ht="12.75">
      <c r="A4" s="201" t="s">
        <v>236</v>
      </c>
      <c r="B4" s="123"/>
      <c r="C4" s="123"/>
      <c r="D4" s="123"/>
      <c r="E4" s="123"/>
      <c r="F4" s="123"/>
      <c r="G4" s="123"/>
      <c r="H4" s="220"/>
      <c r="I4" s="3"/>
      <c r="J4" s="7"/>
    </row>
    <row r="5" spans="1:10" ht="12.75">
      <c r="A5" s="201" t="s">
        <v>237</v>
      </c>
      <c r="B5" s="123"/>
      <c r="C5" s="123"/>
      <c r="D5" s="123"/>
      <c r="E5" s="123"/>
      <c r="F5" s="123"/>
      <c r="G5" s="123"/>
      <c r="H5" s="220"/>
      <c r="I5" s="3"/>
      <c r="J5" s="7"/>
    </row>
    <row r="6" spans="1:10" ht="12.75">
      <c r="A6" s="123"/>
      <c r="B6" s="123"/>
      <c r="C6" s="123"/>
      <c r="D6" s="123"/>
      <c r="E6" s="123"/>
      <c r="F6" s="123"/>
      <c r="G6" s="187"/>
      <c r="H6" s="123"/>
      <c r="I6" s="7"/>
      <c r="J6" s="7"/>
    </row>
    <row r="7" spans="1:10" ht="12.75">
      <c r="A7" s="222"/>
      <c r="B7" s="156" t="s">
        <v>238</v>
      </c>
      <c r="C7" s="156"/>
      <c r="D7" s="156"/>
      <c r="E7" s="223"/>
      <c r="F7" s="224"/>
      <c r="G7" s="223" t="s">
        <v>239</v>
      </c>
      <c r="H7" s="177"/>
      <c r="I7" s="88"/>
      <c r="J7" s="7"/>
    </row>
    <row r="8" spans="1:11" ht="12.75">
      <c r="A8" s="206"/>
      <c r="B8" s="207" t="s">
        <v>240</v>
      </c>
      <c r="C8" s="207" t="s">
        <v>225</v>
      </c>
      <c r="D8" s="207" t="s">
        <v>241</v>
      </c>
      <c r="E8" s="208"/>
      <c r="F8" s="225"/>
      <c r="G8" s="207" t="s">
        <v>242</v>
      </c>
      <c r="H8" s="209"/>
      <c r="K8" s="89"/>
    </row>
    <row r="9" spans="1:11" ht="12.75">
      <c r="A9" s="206" t="str">
        <f>'SF&amp;RfD'!A1</f>
        <v>COMPOUND</v>
      </c>
      <c r="B9" s="208" t="s">
        <v>243</v>
      </c>
      <c r="C9" s="207" t="s">
        <v>229</v>
      </c>
      <c r="D9" s="207" t="s">
        <v>244</v>
      </c>
      <c r="E9" s="207" t="s">
        <v>245</v>
      </c>
      <c r="F9" s="207" t="s">
        <v>246</v>
      </c>
      <c r="G9" s="208" t="s">
        <v>229</v>
      </c>
      <c r="H9" s="209"/>
      <c r="K9" s="89"/>
    </row>
    <row r="10" spans="1:11" ht="12.75">
      <c r="A10" s="169" t="str">
        <f>'SF&amp;RfD'!A3</f>
        <v>Acenaphthene</v>
      </c>
      <c r="B10" s="171"/>
      <c r="C10" s="171"/>
      <c r="D10" s="171">
        <f>'GW3NDW'!E10</f>
        <v>387</v>
      </c>
      <c r="E10" s="154" t="s">
        <v>83</v>
      </c>
      <c r="F10" s="154">
        <f>(THQ*'SF&amp;RfD'!G3*BWa)/(IRWa+IRWndw+D10*IRF)</f>
        <v>0.4273069488249059</v>
      </c>
      <c r="G10" s="183">
        <f aca="true" t="shared" si="0" ref="G10:G17">IF(B10,B10,IF(C10,C10,+MIN(E10,F10)))</f>
        <v>0.4273069488249059</v>
      </c>
      <c r="H10" s="229" t="str">
        <f>+IF(G10=B10,"(*1)LAC",IF(G10=C10,"(*2)MCL",IF(G10=E10,"(*3)C",IF(G10=F10,"(*3)N","?"))))</f>
        <v>(*3)N</v>
      </c>
      <c r="K10" s="90"/>
    </row>
    <row r="11" spans="1:11" ht="12.75">
      <c r="A11" s="169" t="str">
        <f>'SF&amp;RfD'!A4</f>
        <v>Acenaphthylene</v>
      </c>
      <c r="B11" s="171"/>
      <c r="C11" s="171"/>
      <c r="D11" s="171">
        <v>269</v>
      </c>
      <c r="E11" s="154" t="s">
        <v>83</v>
      </c>
      <c r="F11" s="154">
        <f>(THQ*'SF&amp;RfD'!G4*BWa)/(IRWa+IRWndw+D11*IRF)</f>
        <v>0.5623242736644799</v>
      </c>
      <c r="G11" s="183">
        <f>IF(B11,B11,IF(C11,C11,+MIN(E11,F11)))</f>
        <v>0.5623242736644799</v>
      </c>
      <c r="H11" s="229" t="str">
        <f>+IF(G11=B11,"(*1)LAC",IF(G11=C11,"(*2)MCL",IF(G11=E11,"(*3)C",IF(G11=F11,"(*3)N","?"))))</f>
        <v>(*3)N</v>
      </c>
      <c r="K11" s="90"/>
    </row>
    <row r="12" spans="1:11" ht="12.75">
      <c r="A12" s="169" t="str">
        <f>'SF&amp;RfD'!A5</f>
        <v>Anthracene</v>
      </c>
      <c r="B12" s="171"/>
      <c r="C12" s="171"/>
      <c r="D12" s="171">
        <f>'GW3NDW'!E12</f>
        <v>9200</v>
      </c>
      <c r="E12" s="154" t="s">
        <v>83</v>
      </c>
      <c r="F12" s="154">
        <f>(THQ*'SF&amp;RfD'!G5*BWa)/(IRWa+IRWndw+D12*IRF)</f>
        <v>0.11284922805754236</v>
      </c>
      <c r="G12" s="183">
        <f t="shared" si="0"/>
        <v>0.11284922805754236</v>
      </c>
      <c r="H12" s="229" t="str">
        <f aca="true" t="shared" si="1" ref="H12:H19">+IF(G12=B12,"(*1)LAC",IF(G12=C12,"(*2)MCL",IF(G12=E12,"(*3)C",IF(G12=F12,"(*3)N","?"))))</f>
        <v>(*3)N</v>
      </c>
      <c r="K12" s="90"/>
    </row>
    <row r="13" spans="1:11" ht="12.75">
      <c r="A13" s="169" t="str">
        <f>'SF&amp;RfD'!A6</f>
        <v>Benzene</v>
      </c>
      <c r="B13" s="171">
        <v>0.0011</v>
      </c>
      <c r="C13" s="171">
        <v>0.005</v>
      </c>
      <c r="D13" s="171"/>
      <c r="E13" s="171"/>
      <c r="F13" s="154"/>
      <c r="G13" s="183">
        <f t="shared" si="0"/>
        <v>0.0011</v>
      </c>
      <c r="H13" s="229" t="str">
        <f t="shared" si="1"/>
        <v>(*1)LAC</v>
      </c>
      <c r="K13" s="90"/>
    </row>
    <row r="14" spans="1:11" ht="12.75">
      <c r="A14" s="169" t="str">
        <f>'SF&amp;RfD'!A7</f>
        <v>Benz(a)anthracene</v>
      </c>
      <c r="B14" s="171"/>
      <c r="C14" s="171"/>
      <c r="D14" s="171">
        <f>'GW3NDW'!E14</f>
        <v>12600</v>
      </c>
      <c r="E14" s="171">
        <f>(TR*BWa)/('SF&amp;RfD'!C7*(IRWa+IRWndw+D14*IRF))</f>
        <v>3.7738906823555565E-07</v>
      </c>
      <c r="F14" s="154" t="s">
        <v>83</v>
      </c>
      <c r="G14" s="183">
        <f t="shared" si="0"/>
        <v>3.7738906823555565E-07</v>
      </c>
      <c r="H14" s="229" t="str">
        <f t="shared" si="1"/>
        <v>(*3)C</v>
      </c>
      <c r="K14" s="90"/>
    </row>
    <row r="15" spans="1:11" ht="12.75">
      <c r="A15" s="169" t="str">
        <f>'SF&amp;RfD'!A8</f>
        <v>Benzo(a)pyrene</v>
      </c>
      <c r="B15" s="171"/>
      <c r="C15" s="171">
        <v>0.0002</v>
      </c>
      <c r="D15" s="171"/>
      <c r="E15" s="171"/>
      <c r="F15" s="154"/>
      <c r="G15" s="183">
        <f t="shared" si="0"/>
        <v>0.0002</v>
      </c>
      <c r="H15" s="229" t="str">
        <f t="shared" si="1"/>
        <v>(*2)MCL</v>
      </c>
      <c r="K15" s="90"/>
    </row>
    <row r="16" spans="1:11" ht="12.75">
      <c r="A16" s="169" t="str">
        <f>'SF&amp;RfD'!A9</f>
        <v>Benzo(b)fluoranthene</v>
      </c>
      <c r="B16" s="171"/>
      <c r="C16" s="171"/>
      <c r="D16" s="171">
        <f>'GW3NDW'!E16</f>
        <v>30300</v>
      </c>
      <c r="E16" s="171">
        <f>(TR*BWa)/('SF&amp;RfD'!C9*(IRWa+IRWndw+D16*IRF))</f>
        <v>1.576914085913478E-07</v>
      </c>
      <c r="F16" s="154" t="s">
        <v>83</v>
      </c>
      <c r="G16" s="183">
        <f t="shared" si="0"/>
        <v>1.576914085913478E-07</v>
      </c>
      <c r="H16" s="229" t="str">
        <f t="shared" si="1"/>
        <v>(*3)C</v>
      </c>
      <c r="K16" s="90"/>
    </row>
    <row r="17" spans="1:11" ht="12.75">
      <c r="A17" s="169" t="str">
        <f>'SF&amp;RfD'!A10</f>
        <v>Benzo(k)fluoranthene</v>
      </c>
      <c r="B17" s="171"/>
      <c r="C17" s="171"/>
      <c r="D17" s="171">
        <f>'GW3NDW'!E17</f>
        <v>30300</v>
      </c>
      <c r="E17" s="171">
        <f>(TR*BWa)/('SF&amp;RfD'!C10*(IRWa+IRWndw+D17*IRF))</f>
        <v>1.576914085913478E-06</v>
      </c>
      <c r="F17" s="154" t="s">
        <v>83</v>
      </c>
      <c r="G17" s="183">
        <f t="shared" si="0"/>
        <v>1.576914085913478E-06</v>
      </c>
      <c r="H17" s="229" t="str">
        <f t="shared" si="1"/>
        <v>(*3)C</v>
      </c>
      <c r="K17" s="90"/>
    </row>
    <row r="18" spans="1:11" ht="12.75">
      <c r="A18" s="169" t="str">
        <f>'SF&amp;RfD'!A11</f>
        <v>Chrysene</v>
      </c>
      <c r="B18" s="171"/>
      <c r="C18" s="171"/>
      <c r="D18" s="171">
        <f>'GW3NDW'!E18</f>
        <v>12600</v>
      </c>
      <c r="E18" s="171">
        <f>(TR*BWa)/('SF&amp;RfD'!C11*(IRWa+IRWndw+D18*IRF))</f>
        <v>3.773890682355557E-05</v>
      </c>
      <c r="F18" s="154" t="s">
        <v>83</v>
      </c>
      <c r="G18" s="183">
        <f>IF(B18,B18,IF(C18,C18,+MIN(E18,F18)))</f>
        <v>3.773890682355557E-05</v>
      </c>
      <c r="H18" s="229" t="str">
        <f t="shared" si="1"/>
        <v>(*3)C</v>
      </c>
      <c r="K18" s="90"/>
    </row>
    <row r="19" spans="1:11" ht="12.75">
      <c r="A19" s="169" t="str">
        <f>'SF&amp;RfD'!A12</f>
        <v>Dibenz(a,h)anthracene</v>
      </c>
      <c r="B19" s="171"/>
      <c r="C19" s="171"/>
      <c r="D19" s="171">
        <f>'GW3NDW'!E19</f>
        <v>72800</v>
      </c>
      <c r="E19" s="171">
        <f>(TR*BWa)/('SF&amp;RfD'!C12*(IRWa+IRWndw+D19*IRF))</f>
        <v>6.576444302021626E-09</v>
      </c>
      <c r="F19" s="154" t="s">
        <v>83</v>
      </c>
      <c r="G19" s="183">
        <f>IF(B19,B19,IF(C19,C19,+MIN(E19,F19)))</f>
        <v>6.576444302021626E-09</v>
      </c>
      <c r="H19" s="229" t="str">
        <f t="shared" si="1"/>
        <v>(*3)C</v>
      </c>
      <c r="K19" s="90"/>
    </row>
    <row r="20" spans="1:11" ht="12.75">
      <c r="A20" s="169" t="str">
        <f>'SF&amp;RfD'!A13</f>
        <v>Ethyl benzene</v>
      </c>
      <c r="B20" s="171">
        <v>2.39</v>
      </c>
      <c r="C20" s="171">
        <v>0.7</v>
      </c>
      <c r="D20" s="171"/>
      <c r="E20" s="154"/>
      <c r="F20" s="154"/>
      <c r="G20" s="183">
        <f aca="true" t="shared" si="2" ref="G20:G29">IF(B20,B20,IF(C20,C20,+MIN(E20,F20)))</f>
        <v>2.39</v>
      </c>
      <c r="H20" s="229" t="str">
        <f aca="true" t="shared" si="3" ref="H20:H33">+IF(G20=B20,"(*1)LAC",IF(G20=C20,"(*2)MCL",IF(G20=E20,"(*3)C",IF(G20=F20,"(*3)N","?"))))</f>
        <v>(*1)LAC</v>
      </c>
      <c r="K20" s="90"/>
    </row>
    <row r="21" spans="1:11" ht="12.75">
      <c r="A21" s="169" t="str">
        <f>'SF&amp;RfD'!A14</f>
        <v>Fluoranthene</v>
      </c>
      <c r="B21" s="171"/>
      <c r="C21" s="171"/>
      <c r="D21" s="171">
        <f>'GW3NDW'!E21</f>
        <v>4430</v>
      </c>
      <c r="E21" s="154" t="s">
        <v>83</v>
      </c>
      <c r="F21" s="154">
        <f>(THQ*'SF&amp;RfD'!G14*BWa)/(IRWa+IRWndw+D21*IRF)</f>
        <v>0.030874747764337462</v>
      </c>
      <c r="G21" s="183">
        <f t="shared" si="2"/>
        <v>0.030874747764337462</v>
      </c>
      <c r="H21" s="229" t="str">
        <f t="shared" si="3"/>
        <v>(*3)N</v>
      </c>
      <c r="K21" s="90"/>
    </row>
    <row r="22" spans="1:11" ht="12.75">
      <c r="A22" s="169" t="str">
        <f>'SF&amp;RfD'!A15</f>
        <v>Fluorene</v>
      </c>
      <c r="B22" s="171"/>
      <c r="C22" s="171"/>
      <c r="D22" s="171">
        <f>'GW3NDW'!E22</f>
        <v>1800</v>
      </c>
      <c r="E22" s="154" t="s">
        <v>83</v>
      </c>
      <c r="F22" s="154">
        <f>(THQ*'SF&amp;RfD'!G15*BWa)/(IRWa+IRWndw+D22*IRF)</f>
        <v>0.07351203759615638</v>
      </c>
      <c r="G22" s="183">
        <f t="shared" si="2"/>
        <v>0.07351203759615638</v>
      </c>
      <c r="H22" s="229" t="str">
        <f t="shared" si="3"/>
        <v>(*3)N</v>
      </c>
      <c r="K22" s="90"/>
    </row>
    <row r="23" spans="1:11" ht="12.75">
      <c r="A23" s="169" t="str">
        <f>'SF&amp;RfD'!A16</f>
        <v>Indeno(1,2,3-cd)pyrene</v>
      </c>
      <c r="B23" s="171"/>
      <c r="C23" s="171"/>
      <c r="D23" s="171">
        <f>'GW3NDW'!E23</f>
        <v>72800</v>
      </c>
      <c r="E23" s="171">
        <f>(TR*BWa)/('SF&amp;RfD'!C16*(IRWa+IRWndw+D23*IRF))</f>
        <v>6.576444302021627E-08</v>
      </c>
      <c r="F23" s="154" t="s">
        <v>83</v>
      </c>
      <c r="G23" s="183">
        <f t="shared" si="2"/>
        <v>6.576444302021627E-08</v>
      </c>
      <c r="H23" s="229" t="str">
        <f t="shared" si="3"/>
        <v>(*3)C</v>
      </c>
      <c r="K23" s="90"/>
    </row>
    <row r="24" spans="1:11" ht="12.75">
      <c r="A24" s="169" t="str">
        <f>'SF&amp;RfD'!A17</f>
        <v>Lead (inorganic)</v>
      </c>
      <c r="B24" s="171">
        <v>0.05</v>
      </c>
      <c r="C24" s="171">
        <v>0.015</v>
      </c>
      <c r="D24" s="171"/>
      <c r="E24" s="171"/>
      <c r="F24" s="154"/>
      <c r="G24" s="183">
        <f t="shared" si="2"/>
        <v>0.05</v>
      </c>
      <c r="H24" s="229" t="str">
        <f t="shared" si="3"/>
        <v>(*1)LAC</v>
      </c>
      <c r="K24" s="90"/>
    </row>
    <row r="25" spans="1:11" ht="12.75">
      <c r="A25" s="169" t="str">
        <f>'SF&amp;RfD'!A18</f>
        <v>Methyl ethyl ketone</v>
      </c>
      <c r="B25" s="171"/>
      <c r="C25" s="171"/>
      <c r="D25" s="171">
        <f>'GW3NDW'!E25</f>
        <v>0.961</v>
      </c>
      <c r="E25" s="154" t="s">
        <v>83</v>
      </c>
      <c r="F25" s="154">
        <f>(THQ*'SF&amp;RfD'!G18*BWa)/(IRWa+IRWndw+D25*IRF)</f>
        <v>19.922019523579134</v>
      </c>
      <c r="G25" s="183">
        <f t="shared" si="2"/>
        <v>19.922019523579134</v>
      </c>
      <c r="H25" s="229" t="str">
        <f t="shared" si="3"/>
        <v>(*3)N</v>
      </c>
      <c r="K25" s="90"/>
    </row>
    <row r="26" spans="1:11" ht="12.75">
      <c r="A26" s="169" t="str">
        <f>'SF&amp;RfD'!A19</f>
        <v>Methyl isobutyl ketone</v>
      </c>
      <c r="B26" s="171"/>
      <c r="C26" s="171"/>
      <c r="D26" s="171">
        <f>'GW3NDW'!E26</f>
        <v>4.81</v>
      </c>
      <c r="E26" s="154" t="s">
        <v>83</v>
      </c>
      <c r="F26" s="154">
        <f>(THQ*'SF&amp;RfD'!G19*BWa)/(IRWa+IRWndw+D26*IRF)</f>
        <v>2.5626944902068463</v>
      </c>
      <c r="G26" s="183">
        <f t="shared" si="2"/>
        <v>2.5626944902068463</v>
      </c>
      <c r="H26" s="229" t="str">
        <f t="shared" si="3"/>
        <v>(*3)N</v>
      </c>
      <c r="K26" s="90"/>
    </row>
    <row r="27" spans="1:11" ht="12.75">
      <c r="A27" s="169" t="str">
        <f>'SF&amp;RfD'!A20</f>
        <v>Methylnaphthalene,2-</v>
      </c>
      <c r="B27" s="171"/>
      <c r="C27" s="171"/>
      <c r="D27" s="171">
        <v>2600</v>
      </c>
      <c r="E27" s="154" t="s">
        <v>83</v>
      </c>
      <c r="F27" s="154">
        <f>(THQ*'SF&amp;RfD'!G20*BWa)/(IRWa+IRWndw+D27*IRF)</f>
        <v>0.025883266468228295</v>
      </c>
      <c r="G27" s="183">
        <f>IF(B27,B27,IF(C27,C27,+MIN(E27,F27)))</f>
        <v>0.025883266468228295</v>
      </c>
      <c r="H27" s="229" t="str">
        <f>+IF(G27=B27,"(*1)LAC",IF(G27=C27,"(*2)MCL",IF(G27=E27,"(*3)C",IF(G27=F27,"(*3)N","?"))))</f>
        <v>(*3)N</v>
      </c>
      <c r="K27" s="90"/>
    </row>
    <row r="28" spans="1:11" ht="12.75">
      <c r="A28" s="169" t="str">
        <f>'SF&amp;RfD'!A21</f>
        <v>MTBE (methyl tert-butyl ether)</v>
      </c>
      <c r="B28" s="171"/>
      <c r="C28" s="171">
        <v>0.02</v>
      </c>
      <c r="D28" s="171"/>
      <c r="E28" s="154" t="s">
        <v>83</v>
      </c>
      <c r="F28" s="154">
        <f>(THQ*'SF&amp;RfD'!G21*BWa)/(IRWa+IRWndw+D28*IRF)</f>
        <v>28.71708951651508</v>
      </c>
      <c r="G28" s="183">
        <f t="shared" si="2"/>
        <v>0.02</v>
      </c>
      <c r="H28" s="229" t="str">
        <f>+IF(G28=B28,"(*1)LAC",IF(G28=C28,"(*2)T",IF(G28=E28,"(*3)C",IF(G28=F28,"(*3)N","?"))))</f>
        <v>(*2)T</v>
      </c>
      <c r="K28" s="90"/>
    </row>
    <row r="29" spans="1:11" ht="12.75">
      <c r="A29" s="169" t="str">
        <f>'SF&amp;RfD'!A22</f>
        <v>Naphthalene</v>
      </c>
      <c r="B29" s="171"/>
      <c r="C29" s="171"/>
      <c r="D29" s="171">
        <f>'GW3NDW'!E29</f>
        <v>310</v>
      </c>
      <c r="E29" s="154" t="s">
        <v>83</v>
      </c>
      <c r="F29" s="154">
        <f>(THQ*'SF&amp;RfD'!G22*BWa)/(IRWa+IRWndw+D29*IRF)</f>
        <v>0.16889854023404513</v>
      </c>
      <c r="G29" s="183">
        <f t="shared" si="2"/>
        <v>0.16889854023404513</v>
      </c>
      <c r="H29" s="229" t="str">
        <f t="shared" si="3"/>
        <v>(*3)N</v>
      </c>
      <c r="K29" s="90"/>
    </row>
    <row r="30" spans="1:11" ht="12.75">
      <c r="A30" s="169" t="str">
        <f>'SF&amp;RfD'!A23</f>
        <v>Phenanthrene</v>
      </c>
      <c r="B30" s="171"/>
      <c r="C30" s="171"/>
      <c r="D30" s="171">
        <v>5100</v>
      </c>
      <c r="E30" s="154" t="s">
        <v>83</v>
      </c>
      <c r="F30" s="154">
        <f>(THQ*'SF&amp;RfD'!G23*BWa)/(IRWa+IRWndw+D30*IRF)</f>
        <v>0.20175042511696722</v>
      </c>
      <c r="G30" s="183">
        <f>IF(B30,B30,IF(C30,C30,+MIN(E30,F30)))</f>
        <v>0.20175042511696722</v>
      </c>
      <c r="H30" s="229" t="str">
        <f>+IF(G30=B30,"(*1)LAC",IF(G30=C30,"(*2)MCL",IF(G30=E30,"(*3)C",IF(G30=F30,"(*3)N","?"))))</f>
        <v>(*3)N</v>
      </c>
      <c r="K30" s="90"/>
    </row>
    <row r="31" spans="1:11" ht="12.75">
      <c r="A31" s="169" t="str">
        <f>'SF&amp;RfD'!A24</f>
        <v>Pyrene</v>
      </c>
      <c r="B31" s="171"/>
      <c r="C31" s="171"/>
      <c r="D31" s="171">
        <f>'GW3NDW'!E31</f>
        <v>69</v>
      </c>
      <c r="E31" s="154" t="s">
        <v>83</v>
      </c>
      <c r="F31" s="154">
        <f>(THQ*'SF&amp;RfD'!G24*BWa)/(IRWa+IRWndw+D31*IRF)</f>
        <v>0.6053617757278754</v>
      </c>
      <c r="G31" s="183">
        <f>IF(B31,B31,IF(C31,C31,+MIN(E31,F31)))</f>
        <v>0.6053617757278754</v>
      </c>
      <c r="H31" s="229" t="str">
        <f t="shared" si="3"/>
        <v>(*3)N</v>
      </c>
      <c r="K31" s="90"/>
    </row>
    <row r="32" spans="1:11" ht="12.75">
      <c r="A32" s="169" t="str">
        <f>'SF&amp;RfD'!A25</f>
        <v>Toluene</v>
      </c>
      <c r="B32" s="171">
        <v>6.1</v>
      </c>
      <c r="C32" s="171">
        <v>1</v>
      </c>
      <c r="D32" s="171"/>
      <c r="E32" s="154"/>
      <c r="F32" s="154"/>
      <c r="G32" s="183">
        <f>IF(B32,B32,IF(C32,C32,+MIN(E32,F32)))</f>
        <v>6.1</v>
      </c>
      <c r="H32" s="229" t="str">
        <f t="shared" si="3"/>
        <v>(*1)LAC</v>
      </c>
      <c r="K32" s="90"/>
    </row>
    <row r="33" spans="1:11" ht="12.75">
      <c r="A33" s="169" t="str">
        <f>'SF&amp;RfD'!A26</f>
        <v>Xylene(mixed)</v>
      </c>
      <c r="B33" s="171"/>
      <c r="C33" s="171">
        <v>10</v>
      </c>
      <c r="D33" s="171"/>
      <c r="E33" s="154"/>
      <c r="F33" s="154"/>
      <c r="G33" s="183">
        <f>IF(B33,B33,IF(C33,C33,+MIN(E33,F33)))</f>
        <v>10</v>
      </c>
      <c r="H33" s="229" t="str">
        <f t="shared" si="3"/>
        <v>(*2)MCL</v>
      </c>
      <c r="K33" s="90"/>
    </row>
    <row r="34" spans="1:11" ht="12.75">
      <c r="A34" s="169" t="str">
        <f>'SF&amp;RfD'!A27</f>
        <v>Aliphatics C6-C8</v>
      </c>
      <c r="B34" s="171"/>
      <c r="C34" s="171"/>
      <c r="D34" s="171">
        <f>'GW3NDW'!E34</f>
        <v>0</v>
      </c>
      <c r="E34" s="154" t="s">
        <v>83</v>
      </c>
      <c r="F34" s="154">
        <f>(THQ*'SF&amp;RfD'!G27*BWa)/(IRWa+IRWndw+D34*IRF)</f>
        <v>167.5442795595979</v>
      </c>
      <c r="G34" s="183">
        <f aca="true" t="shared" si="4" ref="G34:G43">IF(B34,B34,IF(C34,C34,+MIN(E34,F34)))</f>
        <v>167.5442795595979</v>
      </c>
      <c r="H34" s="229" t="str">
        <f aca="true" t="shared" si="5" ref="H34:H43">+IF(G34=B34,"(*1)LAC",IF(G34=C34,"(*2)MCL",IF(G34=E34,"(*3)C",IF(G34=F34,"(*3)N","?"))))</f>
        <v>(*3)N</v>
      </c>
      <c r="K34" s="90"/>
    </row>
    <row r="35" spans="1:11" ht="12.75">
      <c r="A35" s="169" t="str">
        <f>'SF&amp;RfD'!A28</f>
        <v>Aliphatics &gt;C8-C10</v>
      </c>
      <c r="B35" s="171"/>
      <c r="C35" s="171"/>
      <c r="D35" s="171">
        <f>'GW3NDW'!E35</f>
        <v>0</v>
      </c>
      <c r="E35" s="154" t="s">
        <v>83</v>
      </c>
      <c r="F35" s="154">
        <f>(THQ*'SF&amp;RfD'!G28*BWa)/(IRWa+IRWndw+D35*IRF)</f>
        <v>3.350885591191958</v>
      </c>
      <c r="G35" s="183">
        <f t="shared" si="4"/>
        <v>3.350885591191958</v>
      </c>
      <c r="H35" s="229" t="str">
        <f t="shared" si="5"/>
        <v>(*3)N</v>
      </c>
      <c r="K35" s="90"/>
    </row>
    <row r="36" spans="1:11" ht="12.75">
      <c r="A36" s="169" t="str">
        <f>'SF&amp;RfD'!A29</f>
        <v>Aliphatics &gt;C10-C12</v>
      </c>
      <c r="B36" s="171"/>
      <c r="C36" s="171"/>
      <c r="D36" s="171">
        <f>'GW3NDW'!E36</f>
        <v>0</v>
      </c>
      <c r="E36" s="154" t="s">
        <v>83</v>
      </c>
      <c r="F36" s="154">
        <f>(THQ*'SF&amp;RfD'!G29*BWa)/(IRWa+IRWndw+D36*IRF)</f>
        <v>3.350885591191958</v>
      </c>
      <c r="G36" s="183">
        <f t="shared" si="4"/>
        <v>3.350885591191958</v>
      </c>
      <c r="H36" s="229" t="str">
        <f t="shared" si="5"/>
        <v>(*3)N</v>
      </c>
      <c r="K36" s="90"/>
    </row>
    <row r="37" spans="1:11" ht="12.75">
      <c r="A37" s="169" t="str">
        <f>'SF&amp;RfD'!A30</f>
        <v>Aliphatics &gt;C12-C16</v>
      </c>
      <c r="B37" s="171"/>
      <c r="C37" s="171"/>
      <c r="D37" s="171">
        <f>'GW3NDW'!E37</f>
        <v>0</v>
      </c>
      <c r="E37" s="154" t="s">
        <v>83</v>
      </c>
      <c r="F37" s="154">
        <f>(THQ*'SF&amp;RfD'!G30*BWa)/(IRWa+IRWndw+D37*IRF)</f>
        <v>3.350885591191958</v>
      </c>
      <c r="G37" s="183">
        <f t="shared" si="4"/>
        <v>3.350885591191958</v>
      </c>
      <c r="H37" s="229" t="str">
        <f t="shared" si="5"/>
        <v>(*3)N</v>
      </c>
      <c r="K37" s="90"/>
    </row>
    <row r="38" spans="1:11" ht="12.75">
      <c r="A38" s="169" t="str">
        <f>'SF&amp;RfD'!A31</f>
        <v>Aliphatics &gt;C16-C35</v>
      </c>
      <c r="B38" s="171"/>
      <c r="C38" s="171"/>
      <c r="D38" s="171">
        <f>'GW3NDW'!E38</f>
        <v>0</v>
      </c>
      <c r="E38" s="154" t="s">
        <v>83</v>
      </c>
      <c r="F38" s="154">
        <f>(THQ*'SF&amp;RfD'!G31*BWa)/(IRWa+IRWndw+D38*IRF)</f>
        <v>67.01771182383916</v>
      </c>
      <c r="G38" s="183">
        <f t="shared" si="4"/>
        <v>67.01771182383916</v>
      </c>
      <c r="H38" s="229" t="str">
        <f t="shared" si="5"/>
        <v>(*3)N</v>
      </c>
      <c r="K38" s="90"/>
    </row>
    <row r="39" spans="1:11" ht="12.75">
      <c r="A39" s="169" t="str">
        <f>'SF&amp;RfD'!A32</f>
        <v>Aromatics &gt;C8-C10</v>
      </c>
      <c r="B39" s="171"/>
      <c r="C39" s="171"/>
      <c r="D39" s="171">
        <f>'GW3NDW'!E39</f>
        <v>0</v>
      </c>
      <c r="E39" s="154" t="s">
        <v>83</v>
      </c>
      <c r="F39" s="154">
        <f>(THQ*'SF&amp;RfD'!G32*BWa)/(IRWa+IRWndw+D39*IRF)</f>
        <v>1.3403542364767833</v>
      </c>
      <c r="G39" s="183">
        <f t="shared" si="4"/>
        <v>1.3403542364767833</v>
      </c>
      <c r="H39" s="229" t="str">
        <f t="shared" si="5"/>
        <v>(*3)N</v>
      </c>
      <c r="K39" s="90"/>
    </row>
    <row r="40" spans="1:11" ht="12.75">
      <c r="A40" s="169" t="str">
        <f>'SF&amp;RfD'!A33</f>
        <v>Aromatics &gt;C10-C12</v>
      </c>
      <c r="B40" s="171"/>
      <c r="C40" s="171"/>
      <c r="D40" s="171">
        <f>'GW3NDW'!E40</f>
        <v>0</v>
      </c>
      <c r="E40" s="154" t="s">
        <v>83</v>
      </c>
      <c r="F40" s="154">
        <f>(THQ*'SF&amp;RfD'!G33*BWa)/(IRWa+IRWndw+D40*IRF)</f>
        <v>1.3403542364767833</v>
      </c>
      <c r="G40" s="183">
        <f t="shared" si="4"/>
        <v>1.3403542364767833</v>
      </c>
      <c r="H40" s="229" t="str">
        <f t="shared" si="5"/>
        <v>(*3)N</v>
      </c>
      <c r="K40" s="90"/>
    </row>
    <row r="41" spans="1:11" ht="12.75">
      <c r="A41" s="169" t="str">
        <f>'SF&amp;RfD'!A34</f>
        <v>Aromatics &gt;C12-C16</v>
      </c>
      <c r="B41" s="171"/>
      <c r="C41" s="171"/>
      <c r="D41" s="171">
        <f>'GW3NDW'!E41</f>
        <v>0</v>
      </c>
      <c r="E41" s="154" t="s">
        <v>83</v>
      </c>
      <c r="F41" s="154">
        <f>(THQ*'SF&amp;RfD'!G34*BWa)/(IRWa+IRWndw+D41*IRF)</f>
        <v>1.3403542364767833</v>
      </c>
      <c r="G41" s="183">
        <f t="shared" si="4"/>
        <v>1.3403542364767833</v>
      </c>
      <c r="H41" s="229" t="str">
        <f t="shared" si="5"/>
        <v>(*3)N</v>
      </c>
      <c r="K41" s="90"/>
    </row>
    <row r="42" spans="1:11" ht="12.75">
      <c r="A42" s="169" t="str">
        <f>'SF&amp;RfD'!A35</f>
        <v>Aromatics &gt;C16-C21</v>
      </c>
      <c r="B42" s="171"/>
      <c r="C42" s="171"/>
      <c r="D42" s="171">
        <f>'GW3NDW'!E42</f>
        <v>0</v>
      </c>
      <c r="E42" s="154" t="s">
        <v>83</v>
      </c>
      <c r="F42" s="154">
        <f>(THQ*'SF&amp;RfD'!G35*BWa)/(IRWa+IRWndw+D42*IRF)</f>
        <v>1.0052656773575874</v>
      </c>
      <c r="G42" s="183">
        <f t="shared" si="4"/>
        <v>1.0052656773575874</v>
      </c>
      <c r="H42" s="229" t="str">
        <f t="shared" si="5"/>
        <v>(*3)N</v>
      </c>
      <c r="K42" s="90"/>
    </row>
    <row r="43" spans="1:11" ht="12.75">
      <c r="A43" s="169" t="str">
        <f>'SF&amp;RfD'!A36</f>
        <v>Aromatics &gt;C21-C35</v>
      </c>
      <c r="B43" s="170"/>
      <c r="C43" s="171"/>
      <c r="D43" s="171">
        <f>'GW3NDW'!E43</f>
        <v>0</v>
      </c>
      <c r="E43" s="154" t="s">
        <v>83</v>
      </c>
      <c r="F43" s="154">
        <f>(THQ*'SF&amp;RfD'!G36*BWa)/(IRWa+IRWndw+D43*IRF)</f>
        <v>1.0052656773575874</v>
      </c>
      <c r="G43" s="183">
        <f t="shared" si="4"/>
        <v>1.0052656773575874</v>
      </c>
      <c r="H43" s="229" t="str">
        <f t="shared" si="5"/>
        <v>(*3)N</v>
      </c>
      <c r="K43" s="90"/>
    </row>
    <row r="44" spans="1:8" ht="12.75">
      <c r="A44" s="213" t="s">
        <v>501</v>
      </c>
      <c r="B44" s="170"/>
      <c r="C44" s="171"/>
      <c r="D44" s="171"/>
      <c r="E44" s="154"/>
      <c r="F44" s="154"/>
      <c r="G44" s="183">
        <f>+MIN(G34:G35,G39)</f>
        <v>1.3403542364767833</v>
      </c>
      <c r="H44" s="214"/>
    </row>
    <row r="45" spans="1:8" ht="12.75">
      <c r="A45" s="213" t="s">
        <v>502</v>
      </c>
      <c r="B45" s="170"/>
      <c r="C45" s="171"/>
      <c r="D45" s="171"/>
      <c r="E45" s="154"/>
      <c r="F45" s="154"/>
      <c r="G45" s="183">
        <f>+MIN(G35:G38,G39:G43)</f>
        <v>1.0052656773575874</v>
      </c>
      <c r="H45" s="214"/>
    </row>
    <row r="46" spans="1:8" ht="12.75">
      <c r="A46" s="215" t="s">
        <v>503</v>
      </c>
      <c r="B46" s="161"/>
      <c r="C46" s="174"/>
      <c r="D46" s="174"/>
      <c r="E46" s="226"/>
      <c r="F46" s="226"/>
      <c r="G46" s="184">
        <f>+MIN(G38,G43)</f>
        <v>1.0052656773575874</v>
      </c>
      <c r="H46" s="216"/>
    </row>
    <row r="47" spans="1:10" ht="12.75">
      <c r="A47" s="123"/>
      <c r="B47" s="123"/>
      <c r="C47" s="230"/>
      <c r="D47" s="123"/>
      <c r="E47" s="230"/>
      <c r="F47" s="230"/>
      <c r="G47" s="123"/>
      <c r="H47" s="123"/>
      <c r="I47" s="7"/>
      <c r="J47" s="7"/>
    </row>
    <row r="48" spans="1:10" ht="12.75">
      <c r="A48" s="231" t="s">
        <v>247</v>
      </c>
      <c r="B48" s="123"/>
      <c r="C48" s="123"/>
      <c r="D48" s="123"/>
      <c r="E48" s="123"/>
      <c r="F48" s="230"/>
      <c r="G48" s="123"/>
      <c r="H48" s="123"/>
      <c r="I48" s="7"/>
      <c r="J48" s="7"/>
    </row>
    <row r="49" spans="1:10" ht="12.75">
      <c r="A49" s="231" t="s">
        <v>248</v>
      </c>
      <c r="B49" s="123"/>
      <c r="C49" s="123"/>
      <c r="D49" s="123"/>
      <c r="E49" s="123"/>
      <c r="F49" s="230"/>
      <c r="G49" s="123"/>
      <c r="H49" s="123"/>
      <c r="I49" s="7"/>
      <c r="J49" s="7"/>
    </row>
    <row r="50" spans="1:10" ht="12.75">
      <c r="A50" s="231" t="s">
        <v>249</v>
      </c>
      <c r="B50" s="123"/>
      <c r="C50" s="123"/>
      <c r="D50" s="123"/>
      <c r="E50" s="123"/>
      <c r="F50" s="123"/>
      <c r="G50" s="123"/>
      <c r="H50" s="123"/>
      <c r="I50" s="7"/>
      <c r="J50" s="7"/>
    </row>
    <row r="51" spans="1:10" ht="12.75">
      <c r="A51" s="231" t="s">
        <v>250</v>
      </c>
      <c r="B51" s="123"/>
      <c r="C51" s="123"/>
      <c r="D51" s="123"/>
      <c r="E51" s="123"/>
      <c r="F51" s="123"/>
      <c r="G51" s="123"/>
      <c r="H51" s="123"/>
      <c r="I51" s="7"/>
      <c r="J51" s="7"/>
    </row>
    <row r="52" spans="1:10" ht="12.75">
      <c r="A52" s="231" t="s">
        <v>251</v>
      </c>
      <c r="B52" s="123"/>
      <c r="C52" s="123"/>
      <c r="D52" s="123"/>
      <c r="E52" s="123"/>
      <c r="F52" s="123"/>
      <c r="G52" s="123"/>
      <c r="H52" s="123"/>
      <c r="I52" s="7"/>
      <c r="J52" s="7"/>
    </row>
    <row r="53" spans="1:10" ht="12.75">
      <c r="A53" s="231" t="s">
        <v>395</v>
      </c>
      <c r="B53" s="123"/>
      <c r="C53" s="123"/>
      <c r="D53" s="123"/>
      <c r="E53" s="123"/>
      <c r="F53" s="123"/>
      <c r="G53" s="123"/>
      <c r="H53" s="123"/>
      <c r="I53" s="7"/>
      <c r="J53" s="7"/>
    </row>
    <row r="54" spans="1:10" ht="12.75">
      <c r="A54" s="231" t="s">
        <v>252</v>
      </c>
      <c r="B54" s="123"/>
      <c r="C54" s="123"/>
      <c r="D54" s="123"/>
      <c r="E54" s="123"/>
      <c r="F54" s="123"/>
      <c r="G54" s="123"/>
      <c r="H54" s="123"/>
      <c r="I54" s="7"/>
      <c r="J54" s="7"/>
    </row>
    <row r="55" spans="1:10" ht="12.75">
      <c r="A55" s="201" t="s">
        <v>253</v>
      </c>
      <c r="B55" s="123"/>
      <c r="C55" s="123"/>
      <c r="D55" s="123"/>
      <c r="E55" s="123"/>
      <c r="F55" s="123"/>
      <c r="G55" s="123"/>
      <c r="H55" s="123"/>
      <c r="I55" s="7"/>
      <c r="J55" s="7"/>
    </row>
    <row r="56" spans="1:10" ht="12.75">
      <c r="A56" s="102" t="s">
        <v>432</v>
      </c>
      <c r="B56" s="102"/>
      <c r="C56" s="120"/>
      <c r="D56" s="102"/>
      <c r="E56" s="102"/>
      <c r="F56" s="102"/>
      <c r="G56" s="102"/>
      <c r="H56" s="102"/>
      <c r="I56" s="7"/>
      <c r="J56" s="7"/>
    </row>
    <row r="57" spans="2:10" ht="12.75">
      <c r="B57" s="7"/>
      <c r="C57" s="9"/>
      <c r="D57" s="7"/>
      <c r="E57" s="7"/>
      <c r="F57" s="7"/>
      <c r="G57" s="7"/>
      <c r="H57" s="7"/>
      <c r="I57" s="7"/>
      <c r="J57" s="7"/>
    </row>
    <row r="58" spans="2:10" ht="12.75">
      <c r="B58" s="7"/>
      <c r="C58" s="9"/>
      <c r="D58" s="7"/>
      <c r="E58" s="7"/>
      <c r="F58" s="7"/>
      <c r="G58" s="7"/>
      <c r="H58" s="7"/>
      <c r="I58" s="7"/>
      <c r="J58" s="7"/>
    </row>
    <row r="59" spans="2:10" ht="12.75">
      <c r="B59" s="7"/>
      <c r="C59" s="9"/>
      <c r="D59" s="7"/>
      <c r="E59" s="7"/>
      <c r="F59" s="7"/>
      <c r="G59" s="7"/>
      <c r="H59" s="7"/>
      <c r="I59" s="7"/>
      <c r="J59" s="7"/>
    </row>
    <row r="60" spans="2:10" ht="12.75">
      <c r="B60" s="7"/>
      <c r="C60" s="9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9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9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9"/>
      <c r="D63" s="7"/>
      <c r="E63" s="7"/>
      <c r="F63" s="7"/>
      <c r="G63" s="7"/>
      <c r="H63" s="7"/>
      <c r="I63" s="7"/>
      <c r="J63" s="7"/>
    </row>
    <row r="64" spans="9:10" ht="12.75">
      <c r="I64" s="7"/>
      <c r="J64" s="7"/>
    </row>
    <row r="65" spans="1:10" ht="12.75">
      <c r="A65" s="102" t="str">
        <f>'SF&amp;RfD'!A55</f>
        <v>ADDITIONAL COMPOUNDS</v>
      </c>
      <c r="B65" s="7"/>
      <c r="C65" s="7"/>
      <c r="D65" s="7"/>
      <c r="E65" s="7"/>
      <c r="F65" s="7"/>
      <c r="G65" s="7"/>
      <c r="H65" s="7"/>
      <c r="I65" s="25"/>
      <c r="J65" s="7"/>
    </row>
    <row r="66" spans="1:10" ht="12.75">
      <c r="A66" s="16" t="str">
        <f>'SF&amp;RfD'!A56</f>
        <v>ORGANIC COUMPOUNDS</v>
      </c>
      <c r="B66" s="13"/>
      <c r="C66" s="13"/>
      <c r="D66" s="13"/>
      <c r="E66" s="13"/>
      <c r="F66" s="13"/>
      <c r="G66" s="13"/>
      <c r="H66" s="13"/>
      <c r="I66" s="25"/>
      <c r="J66" s="7"/>
    </row>
    <row r="67" spans="1:10" ht="12.75">
      <c r="A67" s="16" t="str">
        <f>'SF&amp;RfD'!A57</f>
        <v>Benzene</v>
      </c>
      <c r="B67" s="17">
        <v>0.0011</v>
      </c>
      <c r="C67" s="17">
        <v>0.005</v>
      </c>
      <c r="D67" s="17">
        <f>'GW3NDW'!E148</f>
        <v>0</v>
      </c>
      <c r="E67" s="17">
        <f>(TR*BWa)/('SF&amp;RfD'!C57*(IRWa+IRWndw+D67*IRF))</f>
        <v>0.0011554777900661922</v>
      </c>
      <c r="F67" s="20">
        <f>(THQ*'SF&amp;RfD'!G57*BWa)/(IRWa+IRWndw+D67*IRF)</f>
        <v>0.10052656773575873</v>
      </c>
      <c r="G67" s="18">
        <f aca="true" t="shared" si="6" ref="G67:G72">IF(B67,B67,IF(C67,C67,+MIN(E67,F67)))</f>
        <v>0.0011</v>
      </c>
      <c r="H67" s="23" t="str">
        <f aca="true" t="shared" si="7" ref="H67:H72">+IF(G67=B67,"(*1)LAC",IF(G67=C67,"(*2)MCL",IF(G67=E67,"(*3)C",IF(G67=F67,"(*3)N","?"))))</f>
        <v>(*1)LAC</v>
      </c>
      <c r="I67" s="25"/>
      <c r="J67" s="7"/>
    </row>
    <row r="68" spans="1:10" ht="12.75">
      <c r="A68" s="16" t="str">
        <f>'SF&amp;RfD'!A58</f>
        <v>Benzene</v>
      </c>
      <c r="B68" s="17">
        <v>0.0011</v>
      </c>
      <c r="C68" s="17">
        <v>0.005</v>
      </c>
      <c r="D68" s="17">
        <f>'GW3NDW'!E149</f>
        <v>0</v>
      </c>
      <c r="E68" s="17">
        <f>(TR*BWa)/('SF&amp;RfD'!C58*(IRWa+IRWndw+D68*IRF))</f>
        <v>0.0011554777900661922</v>
      </c>
      <c r="F68" s="20">
        <f>(THQ*'SF&amp;RfD'!G58*BWa)/(IRWa+IRWndw+D68*IRF)</f>
        <v>0.10052656773575873</v>
      </c>
      <c r="G68" s="18">
        <f t="shared" si="6"/>
        <v>0.0011</v>
      </c>
      <c r="H68" s="23" t="str">
        <f t="shared" si="7"/>
        <v>(*1)LAC</v>
      </c>
      <c r="I68" s="25"/>
      <c r="J68" s="7"/>
    </row>
    <row r="69" spans="1:10" ht="12.75">
      <c r="A69" s="16" t="str">
        <f>'SF&amp;RfD'!A59</f>
        <v>Benzene</v>
      </c>
      <c r="B69" s="17"/>
      <c r="C69" s="17"/>
      <c r="D69" s="17">
        <f>'GW3NDW'!E150</f>
        <v>0</v>
      </c>
      <c r="E69" s="17">
        <f>(TR*BWa)/('SF&amp;RfD'!C59*(IRWa+IRWndw+D69*IRF))</f>
        <v>0.0011554777900661922</v>
      </c>
      <c r="F69" s="20">
        <f>(THQ*'SF&amp;RfD'!G59*BWa)/(IRWa+IRWndw+D69*IRF)</f>
        <v>0.10052656773575873</v>
      </c>
      <c r="G69" s="18">
        <f t="shared" si="6"/>
        <v>0.0011554777900661922</v>
      </c>
      <c r="H69" s="23" t="str">
        <f t="shared" si="7"/>
        <v>(*3)C</v>
      </c>
      <c r="I69" s="25"/>
      <c r="J69" s="7"/>
    </row>
    <row r="70" spans="1:10" ht="12.75">
      <c r="A70" s="16" t="str">
        <f>'SF&amp;RfD'!A60</f>
        <v>Benzene</v>
      </c>
      <c r="B70" s="17"/>
      <c r="C70" s="17"/>
      <c r="D70" s="17">
        <f>'GW3NDW'!E151</f>
        <v>0</v>
      </c>
      <c r="E70" s="17">
        <f>(TR*BWa)/('SF&amp;RfD'!C60*(IRWa+IRWndw+D70*IRF))</f>
        <v>0.0011554777900661922</v>
      </c>
      <c r="F70" s="20">
        <f>(THQ*'SF&amp;RfD'!G60*BWa)/(IRWa+IRWndw+D70*IRF)</f>
        <v>0.10052656773575873</v>
      </c>
      <c r="G70" s="18">
        <f t="shared" si="6"/>
        <v>0.0011554777900661922</v>
      </c>
      <c r="H70" s="23" t="str">
        <f t="shared" si="7"/>
        <v>(*3)C</v>
      </c>
      <c r="I70" s="25"/>
      <c r="J70" s="7"/>
    </row>
    <row r="71" spans="1:10" ht="12.75">
      <c r="A71" s="16" t="str">
        <f>'SF&amp;RfD'!A61</f>
        <v>Benzene</v>
      </c>
      <c r="B71" s="17"/>
      <c r="C71" s="17"/>
      <c r="D71" s="17">
        <f>'GW3NDW'!E152</f>
        <v>0</v>
      </c>
      <c r="E71" s="17">
        <f>(TR*BWa)/('SF&amp;RfD'!C61*(IRWa+IRWndw+D71*IRF))</f>
        <v>0.0011554777900661922</v>
      </c>
      <c r="F71" s="20">
        <f>(THQ*'SF&amp;RfD'!G61*BWa)/(IRWa+IRWndw+D71*IRF)</f>
        <v>0.10052656773575873</v>
      </c>
      <c r="G71" s="18">
        <f t="shared" si="6"/>
        <v>0.0011554777900661922</v>
      </c>
      <c r="H71" s="23" t="str">
        <f t="shared" si="7"/>
        <v>(*3)C</v>
      </c>
      <c r="I71" s="25"/>
      <c r="J71" s="7"/>
    </row>
    <row r="72" spans="1:10" ht="12.75">
      <c r="A72" s="16" t="str">
        <f>'SF&amp;RfD'!A62</f>
        <v>Benzene</v>
      </c>
      <c r="B72" s="17"/>
      <c r="C72" s="17"/>
      <c r="D72" s="17">
        <f>'GW3NDW'!E153</f>
        <v>0</v>
      </c>
      <c r="E72" s="17">
        <f>(TR*BWa)/('SF&amp;RfD'!C62*(IRWa+IRWndw+D72*IRF))</f>
        <v>0.0011554777900661922</v>
      </c>
      <c r="F72" s="20">
        <f>(THQ*'SF&amp;RfD'!G62*BWa)/(IRWa+IRWndw+D72*IRF)</f>
        <v>0.10052656773575873</v>
      </c>
      <c r="G72" s="18">
        <f t="shared" si="6"/>
        <v>0.0011554777900661922</v>
      </c>
      <c r="H72" s="23" t="str">
        <f t="shared" si="7"/>
        <v>(*3)C</v>
      </c>
      <c r="I72" s="25"/>
      <c r="J72" s="7"/>
    </row>
    <row r="73" spans="1:10" ht="12.75">
      <c r="A73" s="16" t="str">
        <f>'SF&amp;RfD'!A63</f>
        <v>Formaldehyde</v>
      </c>
      <c r="B73" s="17"/>
      <c r="C73" s="17"/>
      <c r="D73" s="17">
        <f>'GW3NDW'!E154</f>
        <v>0.5395</v>
      </c>
      <c r="E73" s="17">
        <f>(TR*BWa)/('SF&amp;RfD'!C63*(IRWa+IRWndw+D73*IRF))</f>
        <v>0.0007247101521746377</v>
      </c>
      <c r="F73" s="20">
        <f>(THQ*'SF&amp;RfD'!G63*BWa)/(IRWa+IRWndw+D73*IRF)</f>
        <v>6.667333400006667</v>
      </c>
      <c r="G73" s="18">
        <f>IF(B73,B73,IF(C73,C73,+MIN(E73,F73)))</f>
        <v>0.0007247101521746377</v>
      </c>
      <c r="H73" s="23" t="str">
        <f>+IF(G73=B73,"(*1)LAC",IF(G73=C73,"(*2)MCL",IF(G73=E73,"(*3)C",IF(G73=F73,"(*3)N","?"))))</f>
        <v>(*3)C</v>
      </c>
      <c r="I73" s="25"/>
      <c r="J73" s="7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25"/>
      <c r="J74" s="7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7"/>
      <c r="J75" s="7"/>
    </row>
    <row r="76" spans="1:10" ht="12.75">
      <c r="A76" s="16" t="str">
        <f>'SF&amp;RfD'!A66</f>
        <v>INORGANIC COMPOUNDS</v>
      </c>
      <c r="B76" s="13"/>
      <c r="C76" s="13"/>
      <c r="D76" s="13"/>
      <c r="E76" s="13"/>
      <c r="F76" s="13"/>
      <c r="G76" s="13"/>
      <c r="H76" s="13"/>
      <c r="I76" s="7"/>
      <c r="J76" s="7"/>
    </row>
    <row r="77" spans="1:10" ht="12.75">
      <c r="A77" s="16" t="str">
        <f>'SF&amp;RfD'!A67</f>
        <v>Antimony</v>
      </c>
      <c r="B77" s="17"/>
      <c r="C77" s="17"/>
      <c r="D77" s="17">
        <f>'GW3NDW'!E158</f>
        <v>0</v>
      </c>
      <c r="E77" s="17" t="e">
        <f>(TR*BWa)/('SF&amp;RfD'!C67*(IRWa+IRWndw+D77*IRF))</f>
        <v>#VALUE!</v>
      </c>
      <c r="F77" s="20">
        <f>(THQ*'SF&amp;RfD'!G67*BWa)/(IRWa+IRWndw+D77*IRF)</f>
        <v>0.013403542364767831</v>
      </c>
      <c r="G77" s="18" t="e">
        <f>IF(B77,B77,IF(C77,C77,+MIN(E77,F77)))</f>
        <v>#VALUE!</v>
      </c>
      <c r="H77" s="23" t="e">
        <f>+IF(G77=B77,"(*1)LAC",IF(G77=C77,"(*2)MCL",IF(G77=E77,"(*3)C",IF(G77=F77,"(*3)N","?"))))</f>
        <v>#VALUE!</v>
      </c>
      <c r="I77" s="7"/>
      <c r="J77" s="7"/>
    </row>
    <row r="78" spans="1:10" ht="12.75">
      <c r="A78" s="16" t="str">
        <f>'SF&amp;RfD'!A68</f>
        <v>Antimony</v>
      </c>
      <c r="B78" s="17"/>
      <c r="C78" s="17"/>
      <c r="D78" s="17">
        <f>'GW3NDW'!E159</f>
        <v>0</v>
      </c>
      <c r="E78" s="17" t="e">
        <f>(TR*BWa)/('SF&amp;RfD'!C68*(IRWa+IRWndw+D78*IRF))</f>
        <v>#VALUE!</v>
      </c>
      <c r="F78" s="20">
        <f>(THQ*'SF&amp;RfD'!G68*BWa)/(IRWa+IRWndw+D78*IRF)</f>
        <v>0.013403542364767831</v>
      </c>
      <c r="G78" s="18" t="e">
        <f>IF(B78,B78,IF(C78,C78,+MIN(E78,F78)))</f>
        <v>#VALUE!</v>
      </c>
      <c r="H78" s="23" t="e">
        <f>+IF(G78=B78,"(*1)LAC",IF(G78=C78,"(*2)MCL",IF(G78=E78,"(*3)C",IF(G78=F78,"(*3)N","?"))))</f>
        <v>#VALUE!</v>
      </c>
      <c r="I78" s="7"/>
      <c r="J78" s="7"/>
    </row>
    <row r="79" spans="1:10" ht="12.75">
      <c r="A79" s="16" t="str">
        <f>'SF&amp;RfD'!A69</f>
        <v>Antimony</v>
      </c>
      <c r="B79" s="17"/>
      <c r="C79" s="17"/>
      <c r="D79" s="17">
        <f>'GW3NDW'!E160</f>
        <v>0</v>
      </c>
      <c r="E79" s="17" t="e">
        <f>(TR*BWa)/('SF&amp;RfD'!C69*(IRWa+IRWndw+D79*IRF))</f>
        <v>#VALUE!</v>
      </c>
      <c r="F79" s="20">
        <f>(THQ*'SF&amp;RfD'!G69*BWa)/(IRWa+IRWndw+D79*IRF)</f>
        <v>0.013403542364767831</v>
      </c>
      <c r="G79" s="18" t="e">
        <f>IF(B79,B79,IF(C79,C79,+MIN(E79,F79)))</f>
        <v>#VALUE!</v>
      </c>
      <c r="H79" s="23" t="e">
        <f>+IF(G79=B79,"(*1)LAC",IF(G79=C79,"(*2)MCL",IF(G79=E79,"(*3)C",IF(G79=F79,"(*3)N","?"))))</f>
        <v>#VALUE!</v>
      </c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2.7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2.7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2.7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2.7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2.7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2.7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2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2.7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2.7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2.7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2.7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2.7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2.7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2.7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2.7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2.7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.7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2.7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2.7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2.7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2.7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2.7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2.7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2.7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2.7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2.7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2.7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2.7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2.7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2.7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2.7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2.7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2.7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2.7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2.7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2.7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2.7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2.7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2.7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2.7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2.7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2.7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2.7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2.7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2.7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2.7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2.7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2.7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2.7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2.7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2.7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2.7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2.7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2.7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2.7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2.7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2.7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2.7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2.7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2.7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2.7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2.7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2.7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2.7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2.7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2.7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2.7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2.7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2.7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2.7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2.7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2.7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2.7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2.7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2.7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2.7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2.7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2.7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2.7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2.7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2.7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2.7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2.7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2.7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2.7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2.7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2.7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2.7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2.7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2.7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2.7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2.7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2.7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2.7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2.7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2.7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2.7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2.7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2.7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2.7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2.7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2.7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2.7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2.7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2.7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2.7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2.7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2.7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2.7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2.7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2.7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2.7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2.7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2.7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2.7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2.7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2.7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2.7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2.7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2.7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2.7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2.7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2.7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2.7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2.7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2.7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2.7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2.75">
      <c r="A339" s="7"/>
      <c r="B339" s="7"/>
      <c r="C339" s="7"/>
      <c r="D339" s="7"/>
      <c r="E339" s="7"/>
      <c r="F339" s="7"/>
      <c r="G339" s="7"/>
      <c r="H339" s="7"/>
      <c r="I339" s="7"/>
      <c r="J339" s="7"/>
    </row>
  </sheetData>
  <sheetProtection password="C596" sheet="1" objects="1" scenarios="1"/>
  <printOptions horizontalCentered="1"/>
  <pageMargins left="0.75" right="0.75" top="1.5" bottom="0.75" header="0.5" footer="0.5"/>
  <pageSetup horizontalDpi="300" verticalDpi="300" orientation="landscape" r:id="rId3"/>
  <headerFooter alignWithMargins="0">
    <oddHeader>&amp;CLDEQ RECAP
WORKSHEET I3
GW 3DW
(mg/l)</oddHeader>
    <oddFooter>&amp;CWI3 - &amp;P</oddFooter>
  </headerFooter>
  <rowBreaks count="1" manualBreakCount="1">
    <brk id="160" max="6553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18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15" sqref="B15"/>
    </sheetView>
  </sheetViews>
  <sheetFormatPr defaultColWidth="9.140625" defaultRowHeight="12.75"/>
  <cols>
    <col min="1" max="1" width="27.421875" style="37" customWidth="1"/>
    <col min="2" max="2" width="9.00390625" style="37" bestFit="1" customWidth="1"/>
    <col min="3" max="3" width="10.421875" style="37" customWidth="1"/>
    <col min="4" max="4" width="10.421875" style="37" bestFit="1" customWidth="1"/>
    <col min="5" max="5" width="11.57421875" style="37" bestFit="1" customWidth="1"/>
    <col min="6" max="6" width="10.7109375" style="37" bestFit="1" customWidth="1"/>
    <col min="7" max="7" width="11.57421875" style="37" customWidth="1"/>
    <col min="8" max="8" width="10.7109375" style="37" bestFit="1" customWidth="1"/>
    <col min="9" max="9" width="9.7109375" style="37" customWidth="1"/>
    <col min="10" max="10" width="8.00390625" style="37" customWidth="1"/>
    <col min="11" max="11" width="3.421875" style="81" customWidth="1"/>
    <col min="12" max="16384" width="7.8515625" style="37" customWidth="1"/>
  </cols>
  <sheetData>
    <row r="1" spans="1:19" ht="12.75">
      <c r="A1" s="197" t="s">
        <v>462</v>
      </c>
      <c r="B1" s="123"/>
      <c r="C1" s="194" t="s">
        <v>196</v>
      </c>
      <c r="D1" s="232"/>
      <c r="E1" s="123"/>
      <c r="F1" s="230"/>
      <c r="G1" s="230"/>
      <c r="H1" s="230"/>
      <c r="I1" s="230"/>
      <c r="J1" s="230"/>
      <c r="K1" s="233"/>
      <c r="L1" s="9"/>
      <c r="M1" s="9"/>
      <c r="N1" s="9"/>
      <c r="O1" s="9"/>
      <c r="P1" s="9"/>
      <c r="Q1" s="7"/>
      <c r="R1" s="7"/>
      <c r="S1" s="7"/>
    </row>
    <row r="2" spans="1:19" ht="12.75">
      <c r="A2" s="234" t="s">
        <v>493</v>
      </c>
      <c r="B2" s="235" t="s">
        <v>197</v>
      </c>
      <c r="C2" s="219">
        <f ca="1">TODAY()</f>
        <v>37932</v>
      </c>
      <c r="D2" s="123"/>
      <c r="E2" s="230"/>
      <c r="F2" s="230"/>
      <c r="G2" s="230"/>
      <c r="H2" s="230"/>
      <c r="I2" s="230"/>
      <c r="J2" s="230"/>
      <c r="K2" s="233"/>
      <c r="L2" s="9"/>
      <c r="M2" s="9"/>
      <c r="N2" s="9"/>
      <c r="O2" s="9"/>
      <c r="P2" s="9"/>
      <c r="Q2" s="7"/>
      <c r="R2" s="7"/>
      <c r="S2" s="7"/>
    </row>
    <row r="3" spans="1:19" ht="12.7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3"/>
      <c r="L3" s="9"/>
      <c r="M3" s="9"/>
      <c r="N3" s="9"/>
      <c r="O3" s="9"/>
      <c r="P3" s="9"/>
      <c r="Q3" s="7"/>
      <c r="R3" s="7"/>
      <c r="S3" s="7"/>
    </row>
    <row r="4" spans="1:19" ht="12.75">
      <c r="A4" s="232" t="s">
        <v>198</v>
      </c>
      <c r="B4" s="232"/>
      <c r="C4" s="232"/>
      <c r="D4" s="232"/>
      <c r="E4" s="230"/>
      <c r="F4" s="230"/>
      <c r="G4" s="230"/>
      <c r="H4" s="230"/>
      <c r="I4" s="230"/>
      <c r="J4" s="230"/>
      <c r="K4" s="233"/>
      <c r="L4" s="9"/>
      <c r="M4" s="9"/>
      <c r="N4" s="9"/>
      <c r="O4" s="9"/>
      <c r="P4" s="9"/>
      <c r="Q4" s="7"/>
      <c r="R4" s="7"/>
      <c r="S4" s="7"/>
    </row>
    <row r="5" spans="1:19" ht="12.75">
      <c r="A5" s="232" t="s">
        <v>199</v>
      </c>
      <c r="B5" s="230"/>
      <c r="C5" s="230"/>
      <c r="D5" s="230"/>
      <c r="E5" s="230"/>
      <c r="F5" s="123"/>
      <c r="G5" s="230"/>
      <c r="H5" s="230"/>
      <c r="I5" s="230"/>
      <c r="J5" s="230"/>
      <c r="K5" s="233"/>
      <c r="L5" s="9"/>
      <c r="M5" s="9"/>
      <c r="N5" s="9"/>
      <c r="O5" s="9"/>
      <c r="P5" s="9"/>
      <c r="Q5" s="7"/>
      <c r="R5" s="7"/>
      <c r="S5" s="7"/>
    </row>
    <row r="6" spans="1:19" ht="12.75">
      <c r="A6" s="232" t="s">
        <v>200</v>
      </c>
      <c r="B6" s="230"/>
      <c r="C6" s="230"/>
      <c r="D6" s="230"/>
      <c r="E6" s="230"/>
      <c r="F6" s="230"/>
      <c r="G6" s="230"/>
      <c r="H6" s="230"/>
      <c r="I6" s="230"/>
      <c r="J6" s="230"/>
      <c r="K6" s="233"/>
      <c r="L6" s="9"/>
      <c r="M6" s="9"/>
      <c r="N6" s="9"/>
      <c r="O6" s="9"/>
      <c r="P6" s="9"/>
      <c r="Q6" s="7"/>
      <c r="R6" s="7"/>
      <c r="S6" s="7"/>
    </row>
    <row r="7" spans="1:19" ht="12.75">
      <c r="A7" s="123"/>
      <c r="B7" s="232"/>
      <c r="C7" s="232"/>
      <c r="D7" s="232"/>
      <c r="E7" s="230"/>
      <c r="F7" s="230"/>
      <c r="G7" s="230"/>
      <c r="H7" s="230"/>
      <c r="I7" s="230"/>
      <c r="J7" s="230"/>
      <c r="K7" s="233"/>
      <c r="L7" s="9"/>
      <c r="M7" s="9"/>
      <c r="N7" s="9"/>
      <c r="O7" s="9"/>
      <c r="P7" s="9"/>
      <c r="Q7" s="7"/>
      <c r="R7" s="7"/>
      <c r="S7" s="7"/>
    </row>
    <row r="8" spans="1:19" ht="12.75">
      <c r="A8" s="232" t="s">
        <v>201</v>
      </c>
      <c r="B8" s="232"/>
      <c r="C8" s="232"/>
      <c r="D8" s="232"/>
      <c r="E8" s="230"/>
      <c r="F8" s="230"/>
      <c r="G8" s="230"/>
      <c r="H8" s="230"/>
      <c r="I8" s="230"/>
      <c r="J8" s="230"/>
      <c r="K8" s="233"/>
      <c r="L8" s="9"/>
      <c r="M8" s="9"/>
      <c r="N8" s="9"/>
      <c r="O8" s="9"/>
      <c r="P8" s="9"/>
      <c r="Q8" s="7"/>
      <c r="R8" s="7"/>
      <c r="S8" s="7"/>
    </row>
    <row r="9" spans="1:19" ht="12.75">
      <c r="A9" s="232" t="s">
        <v>202</v>
      </c>
      <c r="B9" s="232"/>
      <c r="C9" s="232"/>
      <c r="D9" s="232"/>
      <c r="E9" s="230"/>
      <c r="F9" s="230"/>
      <c r="G9" s="230"/>
      <c r="H9" s="230"/>
      <c r="I9" s="230"/>
      <c r="J9" s="230"/>
      <c r="K9" s="233"/>
      <c r="L9" s="9"/>
      <c r="M9" s="9"/>
      <c r="N9" s="9"/>
      <c r="O9" s="9"/>
      <c r="P9" s="9"/>
      <c r="Q9" s="7"/>
      <c r="R9" s="7"/>
      <c r="S9" s="7"/>
    </row>
    <row r="10" spans="1:19" ht="12.75">
      <c r="A10" s="232" t="s">
        <v>203</v>
      </c>
      <c r="B10" s="232"/>
      <c r="C10" s="232"/>
      <c r="D10" s="232"/>
      <c r="E10" s="230"/>
      <c r="F10" s="230"/>
      <c r="G10" s="230"/>
      <c r="H10" s="230"/>
      <c r="I10" s="230"/>
      <c r="J10" s="230"/>
      <c r="K10" s="233"/>
      <c r="L10" s="9"/>
      <c r="M10" s="9"/>
      <c r="N10" s="9"/>
      <c r="O10" s="9"/>
      <c r="P10" s="9"/>
      <c r="Q10" s="7"/>
      <c r="R10" s="7"/>
      <c r="S10" s="7"/>
    </row>
    <row r="11" spans="1:19" ht="12.75">
      <c r="A11" s="232" t="s">
        <v>204</v>
      </c>
      <c r="B11" s="232"/>
      <c r="C11" s="232"/>
      <c r="D11" s="232"/>
      <c r="E11" s="230"/>
      <c r="F11" s="230"/>
      <c r="G11" s="230"/>
      <c r="H11" s="230"/>
      <c r="I11" s="230"/>
      <c r="J11" s="230"/>
      <c r="K11" s="233"/>
      <c r="L11" s="9"/>
      <c r="M11" s="9"/>
      <c r="N11" s="9"/>
      <c r="O11" s="9"/>
      <c r="P11" s="9"/>
      <c r="Q11" s="7"/>
      <c r="R11" s="7"/>
      <c r="S11" s="7"/>
    </row>
    <row r="12" spans="1:19" ht="12.75">
      <c r="A12" s="230"/>
      <c r="B12" s="230"/>
      <c r="C12" s="230"/>
      <c r="D12" s="230"/>
      <c r="E12" s="230"/>
      <c r="F12" s="230"/>
      <c r="G12" s="230"/>
      <c r="H12" s="230"/>
      <c r="I12" s="123"/>
      <c r="J12" s="230"/>
      <c r="K12" s="233"/>
      <c r="L12" s="9"/>
      <c r="M12" s="9"/>
      <c r="N12" s="9"/>
      <c r="O12" s="9"/>
      <c r="P12" s="9"/>
      <c r="Q12" s="7"/>
      <c r="R12" s="7"/>
      <c r="S12" s="7"/>
    </row>
    <row r="13" spans="1:19" ht="12.75" customHeight="1">
      <c r="A13" s="236"/>
      <c r="B13" s="157" t="s">
        <v>351</v>
      </c>
      <c r="C13" s="157" t="s">
        <v>357</v>
      </c>
      <c r="D13" s="157" t="s">
        <v>359</v>
      </c>
      <c r="E13" s="158" t="s">
        <v>205</v>
      </c>
      <c r="F13" s="158" t="s">
        <v>205</v>
      </c>
      <c r="G13" s="158" t="s">
        <v>205</v>
      </c>
      <c r="H13" s="158" t="s">
        <v>205</v>
      </c>
      <c r="I13" s="223" t="s">
        <v>206</v>
      </c>
      <c r="J13" s="237" t="s">
        <v>205</v>
      </c>
      <c r="K13" s="238"/>
      <c r="M13" s="7"/>
      <c r="N13" s="10"/>
      <c r="O13" s="9"/>
      <c r="P13" s="11"/>
      <c r="Q13" s="7"/>
      <c r="R13" s="7"/>
      <c r="S13" s="7"/>
    </row>
    <row r="14" spans="1:19" ht="12.75">
      <c r="A14" s="239" t="str">
        <f>'SF&amp;RfD'!A1</f>
        <v>COMPOUND</v>
      </c>
      <c r="B14" s="162" t="s">
        <v>343</v>
      </c>
      <c r="C14" s="162" t="s">
        <v>342</v>
      </c>
      <c r="D14" s="162" t="s">
        <v>342</v>
      </c>
      <c r="E14" s="240" t="s">
        <v>207</v>
      </c>
      <c r="F14" s="240" t="s">
        <v>208</v>
      </c>
      <c r="G14" s="240" t="s">
        <v>209</v>
      </c>
      <c r="H14" s="240" t="s">
        <v>210</v>
      </c>
      <c r="I14" s="211" t="s">
        <v>211</v>
      </c>
      <c r="J14" s="241" t="s">
        <v>212</v>
      </c>
      <c r="K14" s="216"/>
      <c r="M14" s="87"/>
      <c r="N14" s="87"/>
      <c r="O14" s="87"/>
      <c r="P14" s="10"/>
      <c r="Q14" s="87"/>
      <c r="R14" s="87"/>
      <c r="S14" s="7"/>
    </row>
    <row r="15" spans="1:19" ht="12.75">
      <c r="A15" s="242" t="str">
        <f>'SF&amp;RfD'!A3</f>
        <v>Acenaphthene</v>
      </c>
      <c r="B15" s="212">
        <f>((na^(10/3)*'Chem&amp;Phy data'!H3*'Chem&amp;Phy data'!F3*41+nw^(10/3)*'Chem&amp;Phy data'!J3)/n^2)/(pb*'Chem&amp;Phy data'!D3*foc+nw+na*'Chem&amp;Phy data'!F3*41)</f>
        <v>7.847654069932162E-08</v>
      </c>
      <c r="C15" s="212">
        <f aca="true" t="shared" si="0" ref="C15:C27">(Q\C*0.0001*(3.14*B15*Tnic)^0.5)/(2*pb*B15)</f>
        <v>195345.39565400305</v>
      </c>
      <c r="D15" s="171" t="s">
        <v>83</v>
      </c>
      <c r="E15" s="212" t="s">
        <v>83</v>
      </c>
      <c r="F15" s="212"/>
      <c r="G15" s="212">
        <f>(THQ*BWc*ATnc*365)/(EFni*EDc*((IRSc/'SF&amp;RfD'!G3)*0.000001+(IRAc/'SF&amp;RfD'!I3)*(1/C15)+(SAc/'SF&amp;RfD'!G3)*AFc*'SF&amp;RfD'!K3*0.000001))</f>
        <v>3736.479475701892</v>
      </c>
      <c r="H15" s="212"/>
      <c r="I15" s="181">
        <f aca="true" t="shared" si="1" ref="I15:I27">+MIN(E15:H15)</f>
        <v>3736.479475701892</v>
      </c>
      <c r="J15" s="181">
        <f>+IF(MAX(Soilni!I15,'Quantitation limits'!B3)&gt;1000000,1000000,MAX(Soilni!I15,'Quantitation limits'!B3))</f>
        <v>3736.479475701892</v>
      </c>
      <c r="K15" s="243" t="str">
        <f>+IF(J15=E15,"C",IF(J15=F15,"C",IF(J15=G15,"N",IF(J15=H15,"N",IF(J15='Quantitation limits'!B3,"Q",IF(J15=1000000,"O","?"))))))</f>
        <v>N</v>
      </c>
      <c r="S15" s="7"/>
    </row>
    <row r="16" spans="1:19" ht="12.75">
      <c r="A16" s="242" t="str">
        <f>'SF&amp;RfD'!A4</f>
        <v>Acenaphthylene</v>
      </c>
      <c r="B16" s="212">
        <f>((na^(10/3)*'Chem&amp;Phy data'!H4*'Chem&amp;Phy data'!F4*41+nw^(10/3)*'Chem&amp;Phy data'!J4)/n^2)/(pb*'Chem&amp;Phy data'!D4*foc+nw+na*'Chem&amp;Phy data'!F4*41)</f>
        <v>1.4995652416283858E-07</v>
      </c>
      <c r="C16" s="212">
        <f t="shared" si="0"/>
        <v>141315.70255048858</v>
      </c>
      <c r="D16" s="171" t="s">
        <v>83</v>
      </c>
      <c r="E16" s="212" t="s">
        <v>83</v>
      </c>
      <c r="F16" s="212"/>
      <c r="G16" s="212">
        <f>(THQ*BWc*ATnc*365)/(EFni*EDc*((IRSc/'SF&amp;RfD'!G4)*0.000001+(IRAc/'SF&amp;RfD'!I4)*(1/C16)+(SAc/'SF&amp;RfD'!G4)*AFc*'SF&amp;RfD'!K4*0.000001))</f>
        <v>3466.3877312262052</v>
      </c>
      <c r="H16" s="212"/>
      <c r="I16" s="181">
        <f>+MIN(E16:H16)</f>
        <v>3466.3877312262052</v>
      </c>
      <c r="J16" s="181">
        <f>+IF(MAX(Soilni!I16,'Quantitation limits'!B4)&gt;1000000,1000000,MAX(Soilni!I16,'Quantitation limits'!B4))</f>
        <v>3466.3877312262052</v>
      </c>
      <c r="K16" s="243" t="str">
        <f>+IF(J16=E16,"C",IF(J16=F16,"C",IF(J16=G16,"N",IF(J16=H16,"N",IF(J16='Quantitation limits'!B4,"Q",IF(J16=1000000,"O","?"))))))</f>
        <v>N</v>
      </c>
      <c r="S16" s="7"/>
    </row>
    <row r="17" spans="1:19" ht="12.75">
      <c r="A17" s="213" t="str">
        <f>'SF&amp;RfD'!A5</f>
        <v>Anthracene</v>
      </c>
      <c r="B17" s="154">
        <f>((na^(10/3)*'Chem&amp;Phy data'!H5*'Chem&amp;Phy data'!F5*41+nw^(10/3)*'Chem&amp;Phy data'!J5)/n^2)/(pb*'Chem&amp;Phy data'!D5*foc+nw+na*'Chem&amp;Phy data'!F5*41)</f>
        <v>6.2373700948355206E-09</v>
      </c>
      <c r="C17" s="154">
        <f t="shared" si="0"/>
        <v>692902.8502074041</v>
      </c>
      <c r="D17" s="171" t="s">
        <v>83</v>
      </c>
      <c r="E17" s="154" t="s">
        <v>83</v>
      </c>
      <c r="F17" s="154"/>
      <c r="G17" s="154">
        <f>(THQ*BWc*ATnc*365)/(EFni*EDc*((IRSc/'SF&amp;RfD'!G5)*0.000001+(IRAc/'SF&amp;RfD'!I5)*(1/C17)+(SAc/'SF&amp;RfD'!G5)*AFc*'SF&amp;RfD'!K5*0.000001))</f>
        <v>21885.05595983431</v>
      </c>
      <c r="H17" s="154"/>
      <c r="I17" s="183">
        <f t="shared" si="1"/>
        <v>21885.05595983431</v>
      </c>
      <c r="J17" s="183">
        <f>+IF(MAX(Soilni!I17,'Quantitation limits'!B5)&gt;1000000,1000000,MAX(Soilni!I17,'Quantitation limits'!B5))</f>
        <v>21885.05595983431</v>
      </c>
      <c r="K17" s="214" t="str">
        <f>+IF(J17=E17,"C",IF(J17=F17,"C",IF(J17=G17,"N",IF(J17=H17,"N",IF(J17='Quantitation limits'!B5,"Q",IF(J17=1000000,"O","?"))))))</f>
        <v>N</v>
      </c>
      <c r="L17" s="84"/>
      <c r="M17" s="12"/>
      <c r="N17" s="12"/>
      <c r="O17" s="12"/>
      <c r="P17" s="12"/>
      <c r="Q17" s="12"/>
      <c r="S17" s="7"/>
    </row>
    <row r="18" spans="1:19" ht="12.75">
      <c r="A18" s="213" t="str">
        <f>'SF&amp;RfD'!A6</f>
        <v>Benzene</v>
      </c>
      <c r="B18" s="154">
        <f>((na^(10/3)*'Chem&amp;Phy data'!H6*'Chem&amp;Phy data'!F6*41+nw^(10/3)*'Chem&amp;Phy data'!J6)/n^2)/(pb*'Chem&amp;Phy data'!D6*foc+nw+na*'Chem&amp;Phy data'!F6*41)</f>
        <v>0.0003098818385796398</v>
      </c>
      <c r="C18" s="154">
        <f t="shared" si="0"/>
        <v>3108.6730101594485</v>
      </c>
      <c r="D18" s="154">
        <f aca="true" t="shared" si="2" ref="D18:D24">(Q\C*0.0001*(3.14*B18*Tnia)^0.5)/(2*pb*B18)</f>
        <v>6963.205887065158</v>
      </c>
      <c r="E18" s="154">
        <f>(TR*ATc*365)/(EFni*('SF&amp;RfD'!C6*0.000001*IRSadj+'SF&amp;RfD'!E6*(IRAadj/D18)+'SF&amp;RfD'!C6*0.000001*'SF&amp;RfD'!K6*IRDadj))</f>
        <v>1.4862098611420616</v>
      </c>
      <c r="F18" s="154"/>
      <c r="G18" s="154">
        <f>(THQ*BWc*ATnc*365)/(EFni*EDc*((IRSc/'SF&amp;RfD'!G6)*0.000001+(IRAc/'SF&amp;RfD'!I6)*(1/C18)+(SAc/'SF&amp;RfD'!G6)*AFc*'SF&amp;RfD'!K6*0.000001))</f>
        <v>36.88941709264472</v>
      </c>
      <c r="H18" s="154"/>
      <c r="I18" s="183">
        <f t="shared" si="1"/>
        <v>1.4862098611420616</v>
      </c>
      <c r="J18" s="183">
        <f>+IF(MAX(Soilni!I18,'Quantitation limits'!B6)&gt;1000000,1000000,MAX(Soilni!I18,'Quantitation limits'!B6))</f>
        <v>1.4862098611420616</v>
      </c>
      <c r="K18" s="214" t="str">
        <f>+IF(J18=E18,"C",IF(J18=F18,"C",IF(J18=G18,"N",IF(J18=H18,"N",IF(J18='Quantitation limits'!B6,"Q",IF(J18=1000000,"O","?"))))))</f>
        <v>C</v>
      </c>
      <c r="L18" s="84"/>
      <c r="M18" s="12"/>
      <c r="N18" s="12"/>
      <c r="O18" s="12"/>
      <c r="P18" s="12"/>
      <c r="Q18" s="12"/>
      <c r="S18" s="7"/>
    </row>
    <row r="19" spans="1:19" ht="12.75">
      <c r="A19" s="213" t="str">
        <f>'SF&amp;RfD'!A7</f>
        <v>Benz(a)anthracene</v>
      </c>
      <c r="B19" s="154">
        <f>((na^(10/3)*'Chem&amp;Phy data'!H7*'Chem&amp;Phy data'!F7*41+nw^(10/3)*'Chem&amp;Phy data'!J7)/n^2)/(pb*'Chem&amp;Phy data'!D7*foc+nw+na*'Chem&amp;Phy data'!F7*41)</f>
        <v>1.3144058710267498E-10</v>
      </c>
      <c r="C19" s="171" t="s">
        <v>83</v>
      </c>
      <c r="D19" s="154">
        <f t="shared" si="2"/>
        <v>10691596.33373347</v>
      </c>
      <c r="E19" s="154">
        <f>(TR*ATc*365)/(EFni*('SF&amp;RfD'!C7*0.000001*IRSadj+'SF&amp;RfD'!E7*(IRAadj/D19)+'SF&amp;RfD'!C7*0.000001*'SF&amp;RfD'!K7*IRDadj))</f>
        <v>0.6202053976597203</v>
      </c>
      <c r="F19" s="154"/>
      <c r="G19" s="154" t="s">
        <v>83</v>
      </c>
      <c r="H19" s="154"/>
      <c r="I19" s="183">
        <f t="shared" si="1"/>
        <v>0.6202053976597203</v>
      </c>
      <c r="J19" s="183">
        <f>+IF(MAX(Soilni!I19,'Quantitation limits'!B7)&gt;1000000,1000000,MAX(Soilni!I19,'Quantitation limits'!B7))</f>
        <v>0.6202053976597203</v>
      </c>
      <c r="K19" s="214" t="str">
        <f>+IF(J19=E19,"C",IF(J19=F19,"C",IF(J19=G19,"N",IF(J19=H19,"N",IF(J19='Quantitation limits'!B7,"Q",IF(J19=1000000,"O","?"))))))</f>
        <v>C</v>
      </c>
      <c r="L19" s="84"/>
      <c r="M19" s="12"/>
      <c r="N19" s="12"/>
      <c r="O19" s="12"/>
      <c r="P19" s="12"/>
      <c r="Q19" s="12"/>
      <c r="S19" s="7"/>
    </row>
    <row r="20" spans="1:19" ht="12.75">
      <c r="A20" s="213" t="str">
        <f>'SF&amp;RfD'!A8</f>
        <v>Benzo(a)pyrene</v>
      </c>
      <c r="B20" s="154">
        <f>((na^(10/3)*'Chem&amp;Phy data'!H8*'Chem&amp;Phy data'!F8*41+nw^(10/3)*'Chem&amp;Phy data'!J8)/n^2)/(pb*'Chem&amp;Phy data'!D8*foc+nw+na*'Chem&amp;Phy data'!F8*41)</f>
        <v>4.172100043330537E-11</v>
      </c>
      <c r="C20" s="171" t="s">
        <v>83</v>
      </c>
      <c r="D20" s="154">
        <f t="shared" si="2"/>
        <v>18977104.172220137</v>
      </c>
      <c r="E20" s="154">
        <f>(TR*ATc*365)/(EFni*('SF&amp;RfD'!C8*0.000001*IRSadj+'SF&amp;RfD'!E8*(IRAadj/D20)+'SF&amp;RfD'!C8*0.000001*'SF&amp;RfD'!K8*IRDadj))</f>
        <v>0.062094001867555926</v>
      </c>
      <c r="F20" s="154"/>
      <c r="G20" s="154" t="s">
        <v>83</v>
      </c>
      <c r="H20" s="154"/>
      <c r="I20" s="183">
        <f t="shared" si="1"/>
        <v>0.062094001867555926</v>
      </c>
      <c r="J20" s="183">
        <f>+IF(MAX(Soilni!I20,'Quantitation limits'!B8)&gt;1000000,1000000,MAX(Soilni!I20,'Quantitation limits'!B8))</f>
        <v>0.33</v>
      </c>
      <c r="K20" s="214" t="str">
        <f>+IF(J20=E20,"C",IF(J20=F20,"C",IF(J20=G20,"N",IF(J20=H20,"N",IF(J20='Quantitation limits'!B8,"Q",IF(J20=1000000,"O","?"))))))</f>
        <v>Q</v>
      </c>
      <c r="L20" s="84"/>
      <c r="M20" s="12"/>
      <c r="N20" s="12"/>
      <c r="O20" s="12"/>
      <c r="P20" s="12"/>
      <c r="Q20" s="12"/>
      <c r="S20" s="7"/>
    </row>
    <row r="21" spans="1:19" ht="12.75">
      <c r="A21" s="213" t="str">
        <f>'SF&amp;RfD'!A9</f>
        <v>Benzo(b)fluoranthene</v>
      </c>
      <c r="B21" s="154">
        <f>((na^(10/3)*'Chem&amp;Phy data'!H9*'Chem&amp;Phy data'!F9*41+nw^(10/3)*'Chem&amp;Phy data'!J9)/n^2)/(pb*'Chem&amp;Phy data'!D9*foc+nw+na*'Chem&amp;Phy data'!F9*41)</f>
        <v>1.295788400528181E-10</v>
      </c>
      <c r="C21" s="171" t="s">
        <v>83</v>
      </c>
      <c r="D21" s="154">
        <f t="shared" si="2"/>
        <v>10768129.12123805</v>
      </c>
      <c r="E21" s="154">
        <f>(TR*ATc*365)/(EFni*('SF&amp;RfD'!C9*0.000001*IRSadj+'SF&amp;RfD'!E9*(IRAadj/D21)+'SF&amp;RfD'!C9*0.000001*'SF&amp;RfD'!K9*IRDadj))</f>
        <v>0.6202173423719118</v>
      </c>
      <c r="F21" s="154"/>
      <c r="G21" s="154" t="s">
        <v>83</v>
      </c>
      <c r="H21" s="154"/>
      <c r="I21" s="183">
        <f t="shared" si="1"/>
        <v>0.6202173423719118</v>
      </c>
      <c r="J21" s="183">
        <f>+IF(MAX(Soilni!I21,'Quantitation limits'!B9)&gt;1000000,1000000,MAX(Soilni!I21,'Quantitation limits'!B9))</f>
        <v>0.6202173423719118</v>
      </c>
      <c r="K21" s="214" t="str">
        <f>+IF(J21=E21,"C",IF(J21=F21,"C",IF(J21=G21,"N",IF(J21=H21,"N",IF(J21='Quantitation limits'!B9,"Q",IF(J21=1000000,"O","?"))))))</f>
        <v>C</v>
      </c>
      <c r="L21" s="84"/>
      <c r="M21" s="12"/>
      <c r="N21" s="12"/>
      <c r="O21" s="12"/>
      <c r="P21" s="12"/>
      <c r="Q21" s="12"/>
      <c r="S21" s="7"/>
    </row>
    <row r="22" spans="1:19" ht="12.75">
      <c r="A22" s="213" t="str">
        <f>'SF&amp;RfD'!A10</f>
        <v>Benzo(k)fluoranthene</v>
      </c>
      <c r="B22" s="154">
        <f>((na^(10/3)*'Chem&amp;Phy data'!H10*'Chem&amp;Phy data'!F10*41+nw^(10/3)*'Chem&amp;Phy data'!J10)/n^2)/(pb*'Chem&amp;Phy data'!D10*foc+nw+na*'Chem&amp;Phy data'!F10*41)</f>
        <v>1.9807806410826296E-11</v>
      </c>
      <c r="C22" s="171" t="s">
        <v>83</v>
      </c>
      <c r="D22" s="154">
        <f t="shared" si="2"/>
        <v>27541596.23267851</v>
      </c>
      <c r="E22" s="154">
        <f>(TR*ATc*365)/(EFni*('SF&amp;RfD'!C10*0.000001*IRSadj+'SF&amp;RfD'!E10*(IRAadj/D22)+'SF&amp;RfD'!C10*0.000001*'SF&amp;RfD'!K10*IRDadj))</f>
        <v>6.212352890326843</v>
      </c>
      <c r="F22" s="154"/>
      <c r="G22" s="154" t="s">
        <v>83</v>
      </c>
      <c r="H22" s="154"/>
      <c r="I22" s="183">
        <f t="shared" si="1"/>
        <v>6.212352890326843</v>
      </c>
      <c r="J22" s="183">
        <f>+IF(MAX(Soilni!I22,'Quantitation limits'!B10)&gt;1000000,1000000,MAX(Soilni!I22,'Quantitation limits'!B10))</f>
        <v>6.212352890326843</v>
      </c>
      <c r="K22" s="214" t="str">
        <f>+IF(J22=E22,"C",IF(J22=F22,"C",IF(J22=G22,"N",IF(J22=H22,"N",IF(J22='Quantitation limits'!B10,"Q",IF(J22=1000000,"O","?"))))))</f>
        <v>C</v>
      </c>
      <c r="L22" s="84"/>
      <c r="M22" s="12"/>
      <c r="N22" s="12"/>
      <c r="O22" s="12"/>
      <c r="P22" s="12"/>
      <c r="Q22" s="12"/>
      <c r="S22" s="7"/>
    </row>
    <row r="23" spans="1:19" ht="12.75">
      <c r="A23" s="213" t="str">
        <f>'SF&amp;RfD'!A11</f>
        <v>Chrysene</v>
      </c>
      <c r="B23" s="154">
        <f>((na^(10/3)*'Chem&amp;Phy data'!H11*'Chem&amp;Phy data'!F11*41+nw^(10/3)*'Chem&amp;Phy data'!J11)/n^2)/(pb*'Chem&amp;Phy data'!D11*foc+nw+na*'Chem&amp;Phy data'!F11*41)</f>
        <v>3.8515849676567694E-10</v>
      </c>
      <c r="C23" s="171" t="s">
        <v>83</v>
      </c>
      <c r="D23" s="154">
        <f t="shared" si="2"/>
        <v>6245792.57455695</v>
      </c>
      <c r="E23" s="154">
        <f>(TR*ATc*365)/(EFni*('SF&amp;RfD'!C11*0.000001*IRSadj+'SF&amp;RfD'!E11*(IRAadj/D23)+'SF&amp;RfD'!C11*0.000001*'SF&amp;RfD'!K11*IRDadj))</f>
        <v>61.901144826450626</v>
      </c>
      <c r="F23" s="154"/>
      <c r="G23" s="154" t="s">
        <v>83</v>
      </c>
      <c r="H23" s="154"/>
      <c r="I23" s="183">
        <f t="shared" si="1"/>
        <v>61.901144826450626</v>
      </c>
      <c r="J23" s="183">
        <f>+IF(MAX(Soilni!I23,'Quantitation limits'!B11)&gt;1000000,1000000,MAX(Soilni!I23,'Quantitation limits'!B11))</f>
        <v>61.901144826450626</v>
      </c>
      <c r="K23" s="214" t="str">
        <f>+IF(J23=E23,"C",IF(J23=F23,"C",IF(J23=G23,"N",IF(J23=H23,"N",IF(J23='Quantitation limits'!B11,"Q",IF(J23=1000000,"O","?"))))))</f>
        <v>C</v>
      </c>
      <c r="L23" s="84"/>
      <c r="M23" s="12"/>
      <c r="N23" s="12"/>
      <c r="O23" s="12"/>
      <c r="P23" s="12"/>
      <c r="Q23" s="12"/>
      <c r="S23" s="7"/>
    </row>
    <row r="24" spans="1:19" ht="12.75">
      <c r="A24" s="213" t="str">
        <f>'SF&amp;RfD'!A12</f>
        <v>Dibenz(a,h)anthracene</v>
      </c>
      <c r="B24" s="154">
        <f>((na^(10/3)*'Chem&amp;Phy data'!H12*'Chem&amp;Phy data'!F12*41+nw^(10/3)*'Chem&amp;Phy data'!J12)/n^2)/(pb*'Chem&amp;Phy data'!D12*foc+nw+na*'Chem&amp;Phy data'!F12*41)</f>
        <v>1.216097669682463E-11</v>
      </c>
      <c r="C24" s="171" t="s">
        <v>83</v>
      </c>
      <c r="D24" s="154">
        <f t="shared" si="2"/>
        <v>35149817.17060611</v>
      </c>
      <c r="E24" s="154">
        <f>(TR*ATc*365)/(EFni*('SF&amp;RfD'!C12*0.000001*IRSadj+'SF&amp;RfD'!E12*(IRAadj/D24)+'SF&amp;RfD'!C12*0.000001*'SF&amp;RfD'!K12*IRDadj))</f>
        <v>0.062137700335722246</v>
      </c>
      <c r="F24" s="154"/>
      <c r="G24" s="154" t="s">
        <v>83</v>
      </c>
      <c r="H24" s="154"/>
      <c r="I24" s="183">
        <f t="shared" si="1"/>
        <v>0.062137700335722246</v>
      </c>
      <c r="J24" s="183">
        <f>+IF(MAX(Soilni!I24,'Quantitation limits'!B12)&gt;1000000,1000000,MAX(Soilni!I24,'Quantitation limits'!B12))</f>
        <v>0.33</v>
      </c>
      <c r="K24" s="214" t="str">
        <f>+IF(J24=E24,"C",IF(J24=F24,"C",IF(J24=G24,"N",IF(J24=H24,"N",IF(J24='Quantitation limits'!B12,"Q",IF(J24=1000000,"O","?"))))))</f>
        <v>Q</v>
      </c>
      <c r="L24" s="84"/>
      <c r="M24" s="12"/>
      <c r="N24" s="12"/>
      <c r="O24" s="12"/>
      <c r="P24" s="12"/>
      <c r="Q24" s="12"/>
      <c r="S24" s="7"/>
    </row>
    <row r="25" spans="1:19" ht="12.75">
      <c r="A25" s="213" t="str">
        <f>'SF&amp;RfD'!A13</f>
        <v>Ethyl benzene</v>
      </c>
      <c r="B25" s="154">
        <f>((na^(10/3)*'Chem&amp;Phy data'!H13*'Chem&amp;Phy data'!F13*41+nw^(10/3)*'Chem&amp;Phy data'!J13)/n^2)/(pb*'Chem&amp;Phy data'!D13*foc+nw+na*'Chem&amp;Phy data'!F13*41)</f>
        <v>0.00013991600453429516</v>
      </c>
      <c r="C25" s="154">
        <f t="shared" si="0"/>
        <v>4626.35981728759</v>
      </c>
      <c r="D25" s="171" t="s">
        <v>83</v>
      </c>
      <c r="E25" s="154" t="s">
        <v>83</v>
      </c>
      <c r="F25" s="154"/>
      <c r="G25" s="154">
        <f>(THQ*BWc*ATnc*365)/(EFni*EDc*((IRSc/'SF&amp;RfD'!G13)*0.000001+(IRAc/'SF&amp;RfD'!I13)*(1/C25)+(SAc/'SF&amp;RfD'!G13)*AFc*'SF&amp;RfD'!K13*0.000001))</f>
        <v>1636.6612544799482</v>
      </c>
      <c r="H25" s="154"/>
      <c r="I25" s="183">
        <f t="shared" si="1"/>
        <v>1636.6612544799482</v>
      </c>
      <c r="J25" s="183">
        <f>+IF(MAX(Soilni!I25,'Quantitation limits'!B13)&gt;1000000,1000000,MAX(Soilni!I25,'Quantitation limits'!B13))</f>
        <v>1636.6612544799482</v>
      </c>
      <c r="K25" s="214" t="str">
        <f>+IF(J25=E25,"C",IF(J25=F25,"C",IF(J25=G25,"N",IF(J25=H25,"N",IF(J25='Quantitation limits'!B13,"Q",IF(J25=1000000,"O","?"))))))</f>
        <v>N</v>
      </c>
      <c r="L25" s="84"/>
      <c r="M25" s="12"/>
      <c r="N25" s="12"/>
      <c r="O25" s="12"/>
      <c r="P25" s="12"/>
      <c r="Q25" s="12"/>
      <c r="S25" s="7"/>
    </row>
    <row r="26" spans="1:19" ht="12.75">
      <c r="A26" s="213" t="str">
        <f>'SF&amp;RfD'!A14</f>
        <v>Fluoranthene</v>
      </c>
      <c r="B26" s="154">
        <f>((na^(10/3)*'Chem&amp;Phy data'!H14*'Chem&amp;Phy data'!F14*41+nw^(10/3)*'Chem&amp;Phy data'!J14)/n^2)/(pb*'Chem&amp;Phy data'!D14*foc+nw+na*'Chem&amp;Phy data'!F14*41)</f>
        <v>1.0796336225193185E-09</v>
      </c>
      <c r="C26" s="154">
        <f t="shared" si="0"/>
        <v>1665462.6749676818</v>
      </c>
      <c r="D26" s="171" t="s">
        <v>83</v>
      </c>
      <c r="E26" s="154" t="s">
        <v>83</v>
      </c>
      <c r="F26" s="154"/>
      <c r="G26" s="154">
        <f>(THQ*BWc*ATnc*365)/(EFni*EDc*((IRSc/'SF&amp;RfD'!G14)*0.000001+(IRAc/'SF&amp;RfD'!I14)*(1/C26)+(SAc/'SF&amp;RfD'!G14)*AFc*'SF&amp;RfD'!K14*0.000001))</f>
        <v>2244.2774431599883</v>
      </c>
      <c r="H26" s="154"/>
      <c r="I26" s="183">
        <f t="shared" si="1"/>
        <v>2244.2774431599883</v>
      </c>
      <c r="J26" s="183">
        <f>+IF(MAX(Soilni!I26,'Quantitation limits'!B14)&gt;1000000,1000000,MAX(Soilni!I26,'Quantitation limits'!B14))</f>
        <v>2244.2774431599883</v>
      </c>
      <c r="K26" s="214" t="str">
        <f>+IF(J26=E26,"C",IF(J26=F26,"C",IF(J26=G26,"N",IF(J26=H26,"N",IF(J26='Quantitation limits'!B14,"Q",IF(J26=1000000,"O","?"))))))</f>
        <v>N</v>
      </c>
      <c r="L26" s="84"/>
      <c r="M26" s="12"/>
      <c r="N26" s="12"/>
      <c r="O26" s="12"/>
      <c r="P26" s="12"/>
      <c r="Q26" s="12"/>
      <c r="S26" s="7"/>
    </row>
    <row r="27" spans="1:19" ht="12.75">
      <c r="A27" s="213" t="str">
        <f>'SF&amp;RfD'!A15</f>
        <v>Fluorene</v>
      </c>
      <c r="B27" s="154">
        <f>((na^(10/3)*'Chem&amp;Phy data'!H15*'Chem&amp;Phy data'!F15*41+nw^(10/3)*'Chem&amp;Phy data'!J15)/n^2)/(pb*'Chem&amp;Phy data'!D15*foc+nw+na*'Chem&amp;Phy data'!F15*41)</f>
        <v>2.047514702389521E-08</v>
      </c>
      <c r="C27" s="154">
        <f t="shared" si="0"/>
        <v>382436.72474491777</v>
      </c>
      <c r="D27" s="171" t="s">
        <v>83</v>
      </c>
      <c r="E27" s="154" t="s">
        <v>83</v>
      </c>
      <c r="F27" s="154"/>
      <c r="G27" s="154">
        <f>(THQ*BWc*ATnc*365)/(EFni*EDc*((IRSc/'SF&amp;RfD'!G15)*0.000001+(IRAc/'SF&amp;RfD'!I15)*(1/C27)+(SAc/'SF&amp;RfD'!G15)*AFc*'SF&amp;RfD'!K15*0.000001))</f>
        <v>2766.8339477391883</v>
      </c>
      <c r="H27" s="154"/>
      <c r="I27" s="183">
        <f t="shared" si="1"/>
        <v>2766.8339477391883</v>
      </c>
      <c r="J27" s="183">
        <f>+IF(MAX(Soilni!I27,'Quantitation limits'!B15)&gt;1000000,1000000,MAX(Soilni!I27,'Quantitation limits'!B15))</f>
        <v>2766.8339477391883</v>
      </c>
      <c r="K27" s="214" t="str">
        <f>+IF(J27=E27,"C",IF(J27=F27,"C",IF(J27=G27,"N",IF(J27=H27,"N",IF(J27='Quantitation limits'!B15,"Q",IF(J27=1000000,"O","?"))))))</f>
        <v>N</v>
      </c>
      <c r="L27" s="84"/>
      <c r="M27" s="12"/>
      <c r="N27" s="12"/>
      <c r="O27" s="12"/>
      <c r="P27" s="12"/>
      <c r="Q27" s="12"/>
      <c r="S27" s="7"/>
    </row>
    <row r="28" spans="1:19" ht="12.75">
      <c r="A28" s="213" t="str">
        <f>'SF&amp;RfD'!A16</f>
        <v>Indeno(1,2,3-cd)pyrene</v>
      </c>
      <c r="B28" s="154">
        <f>((na^(10/3)*'Chem&amp;Phy data'!H16*'Chem&amp;Phy data'!F16*41+nw^(10/3)*'Chem&amp;Phy data'!J16)/n^2)/(pb*'Chem&amp;Phy data'!D16*foc+nw+na*'Chem&amp;Phy data'!F16*41)</f>
        <v>7.32459266601671E-12</v>
      </c>
      <c r="C28" s="171" t="s">
        <v>83</v>
      </c>
      <c r="D28" s="154">
        <f>(Q\C*0.0001*(3.14*B28*Tnia)^0.5)/(2*pb*B28)</f>
        <v>45291380.634443566</v>
      </c>
      <c r="E28" s="154">
        <f>(TR*ATc*365)/(EFni*('SF&amp;RfD'!C16*0.000001*IRSadj+'SF&amp;RfD'!E16*(IRAadj/D28)+'SF&amp;RfD'!C16*0.000001*'SF&amp;RfD'!K16*IRDadj))</f>
        <v>0.6214919214648177</v>
      </c>
      <c r="F28" s="154"/>
      <c r="G28" s="154" t="s">
        <v>83</v>
      </c>
      <c r="H28" s="154"/>
      <c r="I28" s="183">
        <f aca="true" t="shared" si="3" ref="I28:I34">+MIN(E28:H28)</f>
        <v>0.6214919214648177</v>
      </c>
      <c r="J28" s="183">
        <f>+IF(MAX(Soilni!I28,'Quantitation limits'!B16)&gt;1000000,1000000,MAX(Soilni!I28,'Quantitation limits'!B16))</f>
        <v>0.6214919214648177</v>
      </c>
      <c r="K28" s="214" t="str">
        <f>+IF(J28=E28,"C",IF(J28=F28,"C",IF(J28=G28,"N",IF(J28=H28,"N",IF(J28='Quantitation limits'!B16,"Q",IF(J28=1000000,"O","?"))))))</f>
        <v>C</v>
      </c>
      <c r="L28" s="84"/>
      <c r="M28" s="12"/>
      <c r="N28" s="12"/>
      <c r="O28" s="12"/>
      <c r="P28" s="12"/>
      <c r="Q28" s="12"/>
      <c r="S28" s="7"/>
    </row>
    <row r="29" spans="1:19" ht="12.75">
      <c r="A29" s="213" t="str">
        <f>'SF&amp;RfD'!A17</f>
        <v>Lead (inorganic)</v>
      </c>
      <c r="B29" s="154" t="s">
        <v>83</v>
      </c>
      <c r="C29" s="154" t="s">
        <v>83</v>
      </c>
      <c r="D29" s="171" t="s">
        <v>83</v>
      </c>
      <c r="E29" s="154" t="s">
        <v>83</v>
      </c>
      <c r="F29" s="154" t="s">
        <v>83</v>
      </c>
      <c r="G29" s="154" t="s">
        <v>83</v>
      </c>
      <c r="H29" s="154" t="s">
        <v>83</v>
      </c>
      <c r="I29" s="154" t="s">
        <v>83</v>
      </c>
      <c r="J29" s="183">
        <f>+IF(MAX(Soilni!I29,'Quantitation limits'!B17)&gt;1000000,1000000,MAX(Soilni!I29,'Quantitation limits'!B17))</f>
        <v>0</v>
      </c>
      <c r="K29" s="214"/>
      <c r="L29" s="84"/>
      <c r="M29" s="12"/>
      <c r="N29" s="12"/>
      <c r="O29" s="12"/>
      <c r="P29" s="12"/>
      <c r="Q29" s="12"/>
      <c r="S29" s="7"/>
    </row>
    <row r="30" spans="1:19" ht="12.75">
      <c r="A30" s="213" t="str">
        <f>'SF&amp;RfD'!A18</f>
        <v>Methyl ethyl ketone</v>
      </c>
      <c r="B30" s="154">
        <f>((na^(10/3)*'Chem&amp;Phy data'!H18*'Chem&amp;Phy data'!F18*41+nw^(10/3)*'Chem&amp;Phy data'!J18)/n^2)/(pb*'Chem&amp;Phy data'!D18*foc+nw+na*'Chem&amp;Phy data'!F18*41)</f>
        <v>1.3112245066474855E-05</v>
      </c>
      <c r="C30" s="154">
        <f aca="true" t="shared" si="4" ref="C30:C38">(Q\C*0.0001*(3.14*B30*Tnic)^0.5)/(2*pb*B30)</f>
        <v>15112.439521034652</v>
      </c>
      <c r="D30" s="171" t="s">
        <v>83</v>
      </c>
      <c r="E30" s="154" t="s">
        <v>83</v>
      </c>
      <c r="F30" s="154"/>
      <c r="G30" s="154">
        <f>(THQ*BWc*ATnc*365)/(EFni*EDc*((IRSc/'SF&amp;RfD'!G18)*0.000001+(IRAc/'SF&amp;RfD'!I18)*(1/C30)+(SAc/'SF&amp;RfD'!G18)*AFc*'SF&amp;RfD'!K18*0.000001))</f>
        <v>5909.671770831276</v>
      </c>
      <c r="H30" s="154"/>
      <c r="I30" s="183">
        <f t="shared" si="3"/>
        <v>5909.671770831276</v>
      </c>
      <c r="J30" s="183">
        <f>+IF(MAX(Soilni!I30,'Quantitation limits'!B18)&gt;1000000,1000000,MAX(Soilni!I30,'Quantitation limits'!B18))</f>
        <v>5909.671770831276</v>
      </c>
      <c r="K30" s="214" t="str">
        <f>+IF(J30=E30,"C",IF(J30=F30,"C",IF(J30=G30,"N",IF(J30=H30,"N",IF(J30='Quantitation limits'!B18,"Q",IF(J30=1000000,"O","?"))))))</f>
        <v>N</v>
      </c>
      <c r="L30" s="84"/>
      <c r="M30" s="12"/>
      <c r="N30" s="12"/>
      <c r="O30" s="12"/>
      <c r="P30" s="12"/>
      <c r="Q30" s="12"/>
      <c r="S30" s="7"/>
    </row>
    <row r="31" spans="1:19" ht="12.75">
      <c r="A31" s="213" t="str">
        <f>'SF&amp;RfD'!A19</f>
        <v>Methyl isobutyl ketone</v>
      </c>
      <c r="B31" s="154">
        <f>((na^(10/3)*'Chem&amp;Phy data'!H19*'Chem&amp;Phy data'!F19*41+nw^(10/3)*'Chem&amp;Phy data'!J19)/n^2)/(pb*'Chem&amp;Phy data'!D19*foc+nw+na*'Chem&amp;Phy data'!F19*41)</f>
        <v>2.2408234003605145E-05</v>
      </c>
      <c r="C31" s="154">
        <f t="shared" si="4"/>
        <v>11560.304912265308</v>
      </c>
      <c r="D31" s="171" t="s">
        <v>83</v>
      </c>
      <c r="E31" s="154" t="s">
        <v>83</v>
      </c>
      <c r="F31" s="154"/>
      <c r="G31" s="154">
        <f>(THQ*BWc*ATnc*365)/(EFni*EDc*((IRSc/'SF&amp;RfD'!G19)*0.000001+(IRAc/'SF&amp;RfD'!I19)*(1/C31)+(SAc/'SF&amp;RfD'!G19)*AFc*'SF&amp;RfD'!K19*0.000001))</f>
        <v>4461.932789401525</v>
      </c>
      <c r="H31" s="154"/>
      <c r="I31" s="183">
        <f t="shared" si="3"/>
        <v>4461.932789401525</v>
      </c>
      <c r="J31" s="183">
        <f>+IF(MAX(Soilni!I31,'Quantitation limits'!B19)&gt;1000000,1000000,MAX(Soilni!I31,'Quantitation limits'!B19))</f>
        <v>4461.932789401525</v>
      </c>
      <c r="K31" s="214" t="str">
        <f>+IF(J31=E31,"C",IF(J31=F31,"C",IF(J31=G31,"N",IF(J31=H31,"N",IF(J31='Quantitation limits'!B19,"Q",IF(J31=1000000,"O","?"))))))</f>
        <v>N</v>
      </c>
      <c r="L31" s="84"/>
      <c r="M31" s="12"/>
      <c r="N31" s="12"/>
      <c r="O31" s="12"/>
      <c r="P31" s="12"/>
      <c r="Q31" s="12"/>
      <c r="S31" s="7"/>
    </row>
    <row r="32" spans="1:19" ht="12.75">
      <c r="A32" s="213" t="str">
        <f>'SF&amp;RfD'!A20</f>
        <v>Methylnaphthalene,2-</v>
      </c>
      <c r="B32" s="154">
        <f>((na^(10/3)*'Chem&amp;Phy data'!H20*'Chem&amp;Phy data'!F20*41+nw^(10/3)*'Chem&amp;Phy data'!J20)/n^2)/(pb*'Chem&amp;Phy data'!D20*foc+nw+na*'Chem&amp;Phy data'!F20*41)</f>
        <v>8.134635960753407E-08</v>
      </c>
      <c r="C32" s="154">
        <f t="shared" si="4"/>
        <v>191868.66045229282</v>
      </c>
      <c r="D32" s="171" t="s">
        <v>83</v>
      </c>
      <c r="E32" s="154" t="s">
        <v>83</v>
      </c>
      <c r="F32" s="154"/>
      <c r="G32" s="154">
        <f>(THQ*BWc*ATnc*365)/(EFni*EDc*((IRSc/'SF&amp;RfD'!G20)*0.000001+(IRAc/'SF&amp;RfD'!I20)*(1/C32)+(SAc/'SF&amp;RfD'!G20)*AFc*'SF&amp;RfD'!K20*0.000001))</f>
        <v>221.55931877937388</v>
      </c>
      <c r="H32" s="154"/>
      <c r="I32" s="183">
        <f>+MIN(E32:H32)</f>
        <v>221.55931877937388</v>
      </c>
      <c r="J32" s="183">
        <f>+IF(MAX(Soilni!I32,'Quantitation limits'!B20)&gt;1000000,1000000,MAX(Soilni!I32,'Quantitation limits'!B20))</f>
        <v>221.55931877937388</v>
      </c>
      <c r="K32" s="214" t="str">
        <f>+IF(J32=E32,"C",IF(J32=F32,"C",IF(J32=G32,"N",IF(J32=H32,"N",IF(J32='Quantitation limits'!B20,"Q",IF(J32=1000000,"O","?"))))))</f>
        <v>N</v>
      </c>
      <c r="L32" s="84"/>
      <c r="M32" s="12"/>
      <c r="N32" s="12"/>
      <c r="O32" s="12"/>
      <c r="P32" s="12"/>
      <c r="Q32" s="12"/>
      <c r="S32" s="7"/>
    </row>
    <row r="33" spans="1:19" ht="12.75">
      <c r="A33" s="213" t="str">
        <f>'SF&amp;RfD'!A21</f>
        <v>MTBE (methyl tert-butyl ether)</v>
      </c>
      <c r="B33" s="154">
        <f>((na^(10/3)*'Chem&amp;Phy data'!H21*'Chem&amp;Phy data'!F21*41+nw^(10/3)*'Chem&amp;Phy data'!J21)/n^2)/(pb*'Chem&amp;Phy data'!D21*foc+nw+na*'Chem&amp;Phy data'!F21*41)</f>
        <v>0.0001023985503411205</v>
      </c>
      <c r="C33" s="154">
        <f t="shared" si="4"/>
        <v>5407.869469710895</v>
      </c>
      <c r="D33" s="171" t="s">
        <v>83</v>
      </c>
      <c r="E33" s="154" t="s">
        <v>83</v>
      </c>
      <c r="F33" s="154"/>
      <c r="G33" s="154">
        <f>(THQ*BWc*ATnc*365)/(EFni*EDc*((IRSc/'SF&amp;RfD'!G21)*0.000001+(IRAc/'SF&amp;RfD'!I21)*(1/C33)+(SAc/'SF&amp;RfD'!G21)*AFc*'SF&amp;RfD'!K21*0.000001))</f>
        <v>6542.1674329297975</v>
      </c>
      <c r="H33" s="154"/>
      <c r="I33" s="183">
        <f t="shared" si="3"/>
        <v>6542.1674329297975</v>
      </c>
      <c r="J33" s="183">
        <f>+IF(MAX(Soilni!I33,'Quantitation limits'!B21)&gt;1000000,1000000,MAX(Soilni!I33,'Quantitation limits'!B21))</f>
        <v>6542.1674329297975</v>
      </c>
      <c r="K33" s="214" t="str">
        <f>+IF(J33=E33,"C",IF(J33=F33,"C",IF(J33=G33,"N",IF(J33=H33,"N",IF(J33='Quantitation limits'!B21,"Q",IF(J33=1000000,"O","?"))))))</f>
        <v>N</v>
      </c>
      <c r="L33" s="84"/>
      <c r="M33" s="12"/>
      <c r="N33" s="12"/>
      <c r="O33" s="12"/>
      <c r="P33" s="12"/>
      <c r="Q33" s="12"/>
      <c r="S33" s="7"/>
    </row>
    <row r="34" spans="1:19" ht="12.75">
      <c r="A34" s="213" t="str">
        <f>'SF&amp;RfD'!A22</f>
        <v>Naphthalene</v>
      </c>
      <c r="B34" s="154">
        <f>((na^(10/3)*'Chem&amp;Phy data'!H22*'Chem&amp;Phy data'!F22*41+nw^(10/3)*'Chem&amp;Phy data'!J22)/n^2)/(pb*'Chem&amp;Phy data'!D22*foc+nw+na*'Chem&amp;Phy data'!F22*41)</f>
        <v>1.3022244000172316E-06</v>
      </c>
      <c r="C34" s="154">
        <f t="shared" si="4"/>
        <v>47954.59089773061</v>
      </c>
      <c r="D34" s="171" t="s">
        <v>83</v>
      </c>
      <c r="E34" s="154" t="s">
        <v>83</v>
      </c>
      <c r="F34" s="154"/>
      <c r="G34" s="154">
        <f>(THQ*BWc*ATnc*365)/(EFni*EDc*((IRSc/'SF&amp;RfD'!G22)*0.000001+(IRAc/'SF&amp;RfD'!I22)*(1/C34)+(SAc/'SF&amp;RfD'!G22)*AFc*'SF&amp;RfD'!K22*0.000001))</f>
        <v>61.95744239831131</v>
      </c>
      <c r="H34" s="154"/>
      <c r="I34" s="183">
        <f t="shared" si="3"/>
        <v>61.95744239831131</v>
      </c>
      <c r="J34" s="183">
        <f>+IF(MAX(Soilni!I34,'Quantitation limits'!B22)&gt;1000000,1000000,MAX(Soilni!I34,'Quantitation limits'!B22))</f>
        <v>61.95744239831131</v>
      </c>
      <c r="K34" s="214" t="str">
        <f>+IF(J34=E34,"C",IF(J34=F34,"C",IF(J34=G34,"N",IF(J34=H34,"N",IF(J34='Quantitation limits'!B22,"Q",IF(J34=1000000,"O","?"))))))</f>
        <v>N</v>
      </c>
      <c r="L34" s="84"/>
      <c r="M34" s="12"/>
      <c r="N34" s="12"/>
      <c r="O34" s="12"/>
      <c r="P34" s="12"/>
      <c r="Q34" s="12"/>
      <c r="S34" s="7"/>
    </row>
    <row r="35" spans="1:19" ht="12.75">
      <c r="A35" s="213" t="str">
        <f>'SF&amp;RfD'!A23</f>
        <v>Phenanthrene</v>
      </c>
      <c r="B35" s="154">
        <f>((na^(10/3)*'Chem&amp;Phy data'!H23*'Chem&amp;Phy data'!F23*41+nw^(10/3)*'Chem&amp;Phy data'!J23)/n^2)/(pb*'Chem&amp;Phy data'!D23*foc+nw+na*'Chem&amp;Phy data'!F23*41)</f>
        <v>1.523468331448656E-08</v>
      </c>
      <c r="C35" s="154">
        <f t="shared" si="4"/>
        <v>443359.87824966566</v>
      </c>
      <c r="D35" s="171" t="s">
        <v>83</v>
      </c>
      <c r="E35" s="154" t="s">
        <v>83</v>
      </c>
      <c r="F35" s="154"/>
      <c r="G35" s="154">
        <f>(THQ*BWc*ATnc*365)/(EFni*EDc*((IRSc/'SF&amp;RfD'!G23)*0.000001+(IRAc/'SF&amp;RfD'!I23)*(1/C35)+(SAc/'SF&amp;RfD'!G23)*AFc*'SF&amp;RfD'!K23*0.000001))</f>
        <v>21086.276602809932</v>
      </c>
      <c r="H35" s="154"/>
      <c r="I35" s="183">
        <f>+MIN(E35:H35)</f>
        <v>21086.276602809932</v>
      </c>
      <c r="J35" s="183">
        <f>+IF(MAX(Soilni!I35,'Quantitation limits'!B23)&gt;1000000,1000000,MAX(Soilni!I35,'Quantitation limits'!B23))</f>
        <v>21086.276602809932</v>
      </c>
      <c r="K35" s="214" t="str">
        <f>+IF(J35=E35,"C",IF(J35=F35,"C",IF(J35=G35,"N",IF(J35=H35,"N",IF(J35='Quantitation limits'!B23,"Q",IF(J35=1000000,"O","?"))))))</f>
        <v>N</v>
      </c>
      <c r="L35" s="84"/>
      <c r="M35" s="12"/>
      <c r="N35" s="12"/>
      <c r="O35" s="12"/>
      <c r="P35" s="12"/>
      <c r="Q35" s="12"/>
      <c r="S35" s="7"/>
    </row>
    <row r="36" spans="1:17" ht="12.75">
      <c r="A36" s="213" t="str">
        <f>'SF&amp;RfD'!A24</f>
        <v>Pyrene</v>
      </c>
      <c r="B36" s="154">
        <f>((na^(10/3)*'Chem&amp;Phy data'!H24*'Chem&amp;Phy data'!F24*41+nw^(10/3)*'Chem&amp;Phy data'!J24)/n^2)/(pb*'Chem&amp;Phy data'!D24*foc+nw+na*'Chem&amp;Phy data'!F24*41)</f>
        <v>6.854963924441469E-10</v>
      </c>
      <c r="C36" s="154">
        <f t="shared" si="4"/>
        <v>2090116.616124824</v>
      </c>
      <c r="D36" s="171" t="s">
        <v>83</v>
      </c>
      <c r="E36" s="154" t="s">
        <v>83</v>
      </c>
      <c r="F36" s="154"/>
      <c r="G36" s="154">
        <f>(THQ*BWc*ATnc*365)/(EFni*EDc*((IRSc/'SF&amp;RfD'!G24)*0.000001+(IRAc/'SF&amp;RfD'!I24)*(1/C36)+(SAc/'SF&amp;RfD'!G24)*AFc*'SF&amp;RfD'!K24*0.000001))</f>
        <v>2291.60846130585</v>
      </c>
      <c r="H36" s="154"/>
      <c r="I36" s="183">
        <f>+MIN(E36:H36)</f>
        <v>2291.60846130585</v>
      </c>
      <c r="J36" s="183">
        <f>+IF(MAX(Soilni!I36,'Quantitation limits'!B24)&gt;1000000,1000000,MAX(Soilni!I36,'Quantitation limits'!B24))</f>
        <v>2291.60846130585</v>
      </c>
      <c r="K36" s="214" t="str">
        <f>+IF(J36=E36,"C",IF(J36=F36,"C",IF(J36=G36,"N",IF(J36=H36,"N",IF(J36='Quantitation limits'!B24,"Q",IF(J36=1000000,"O","?"))))))</f>
        <v>N</v>
      </c>
      <c r="L36" s="84"/>
      <c r="M36" s="12"/>
      <c r="N36" s="12"/>
      <c r="O36" s="12"/>
      <c r="P36" s="12"/>
      <c r="Q36" s="12"/>
    </row>
    <row r="37" spans="1:17" ht="12.75">
      <c r="A37" s="213" t="str">
        <f>'SF&amp;RfD'!A25</f>
        <v>Toluene</v>
      </c>
      <c r="B37" s="154">
        <f>((na^(10/3)*'Chem&amp;Phy data'!H25*'Chem&amp;Phy data'!F25*41+nw^(10/3)*'Chem&amp;Phy data'!J25)/n^2)/(pb*'Chem&amp;Phy data'!D25*foc+nw+na*'Chem&amp;Phy data'!F25*41)</f>
        <v>0.00019059449498200882</v>
      </c>
      <c r="C37" s="154">
        <f t="shared" si="4"/>
        <v>3963.856542215876</v>
      </c>
      <c r="D37" s="171" t="s">
        <v>83</v>
      </c>
      <c r="E37" s="154" t="s">
        <v>83</v>
      </c>
      <c r="F37" s="154"/>
      <c r="G37" s="154">
        <f>(THQ*BWc*ATnc*365)/(EFni*EDc*((IRSc/'SF&amp;RfD'!G25)*0.000001+(IRAc/'SF&amp;RfD'!I25)*(1/C37)+(SAc/'SF&amp;RfD'!G25)*AFc*'SF&amp;RfD'!K25*0.000001))</f>
        <v>676.307897215742</v>
      </c>
      <c r="H37" s="154"/>
      <c r="I37" s="183">
        <f>+MIN(E37:H37)</f>
        <v>676.307897215742</v>
      </c>
      <c r="J37" s="183">
        <f>+IF(MAX(Soilni!I37,'Quantitation limits'!B25)&gt;1000000,1000000,MAX(Soilni!I37,'Quantitation limits'!B25))</f>
        <v>676.307897215742</v>
      </c>
      <c r="K37" s="214" t="str">
        <f>+IF(J37=E37,"C",IF(J37=F37,"C",IF(J37=G37,"N",IF(J37=H37,"N",IF(J37='Quantitation limits'!B25,"Q",IF(J37=1000000,"O","?"))))))</f>
        <v>N</v>
      </c>
      <c r="L37" s="84"/>
      <c r="M37" s="12"/>
      <c r="N37" s="12"/>
      <c r="O37" s="12"/>
      <c r="P37" s="12"/>
      <c r="Q37" s="12"/>
    </row>
    <row r="38" spans="1:17" ht="12.75">
      <c r="A38" s="213" t="str">
        <f>'SF&amp;RfD'!A26</f>
        <v>Xylene(mixed)</v>
      </c>
      <c r="B38" s="154">
        <f>((na^(10/3)*'Chem&amp;Phy data'!H26*'Chem&amp;Phy data'!F26*41+nw^(10/3)*'Chem&amp;Phy data'!J26)/n^2)/(pb*'Chem&amp;Phy data'!D26*foc+nw+na*'Chem&amp;Phy data'!F26*41)</f>
        <v>0.00018739467699813714</v>
      </c>
      <c r="C38" s="154">
        <f t="shared" si="4"/>
        <v>3997.5552921684452</v>
      </c>
      <c r="D38" s="171" t="s">
        <v>83</v>
      </c>
      <c r="E38" s="154" t="s">
        <v>83</v>
      </c>
      <c r="F38" s="154"/>
      <c r="G38" s="154">
        <f>(THQ*BWc*ATnc*365)/(EFni*EDc*((IRSc/'SF&amp;RfD'!G26)*0.000001+(IRAc/'SF&amp;RfD'!I26)*(1/C38)+(SAc/'SF&amp;RfD'!G26)*AFc*'SF&amp;RfD'!K26*0.000001))</f>
        <v>179.2680025508745</v>
      </c>
      <c r="H38" s="154"/>
      <c r="I38" s="183">
        <f>+MIN(E38:H38)</f>
        <v>179.2680025508745</v>
      </c>
      <c r="J38" s="183">
        <f>+IF(MAX(Soilni!I38,'Quantitation limits'!B26)&gt;1000000,1000000,MAX(Soilni!I38,'Quantitation limits'!B26))</f>
        <v>179.2680025508745</v>
      </c>
      <c r="K38" s="214" t="str">
        <f>+IF(J38=E38,"C",IF(J38=F38,"C",IF(J38=G38,"N",IF(J38=H38,"N",IF(J38='Quantitation limits'!B26,"Q",IF(J38=1000000,"O","?"))))))</f>
        <v>N</v>
      </c>
      <c r="L38" s="84"/>
      <c r="M38" s="12"/>
      <c r="N38" s="12"/>
      <c r="O38" s="12"/>
      <c r="P38" s="12"/>
      <c r="Q38" s="12"/>
    </row>
    <row r="39" spans="1:17" ht="12.75">
      <c r="A39" s="213" t="str">
        <f>'SF&amp;RfD'!A27</f>
        <v>Aliphatics C6-C8</v>
      </c>
      <c r="B39" s="154">
        <f>((na^(10/3)*'Chem&amp;Phy data'!H27*'Chem&amp;Phy data'!F27*41+nw^(10/3)*'Chem&amp;Phy data'!J27)/n^2)/(pb*'Chem&amp;Phy data'!D27*foc+nw+na*'Chem&amp;Phy data'!F27*41)</f>
        <v>0.001398741361107553</v>
      </c>
      <c r="C39" s="154">
        <f aca="true" t="shared" si="5" ref="C39:C48">(Q\C*0.0001*(3.14*B39*Tnic)^0.5)/(2*pb*B39)</f>
        <v>1463.202370311897</v>
      </c>
      <c r="D39" s="171" t="s">
        <v>83</v>
      </c>
      <c r="E39" s="154" t="s">
        <v>83</v>
      </c>
      <c r="F39" s="154"/>
      <c r="G39" s="154">
        <f>(THQ*BWc*ATnc*365)/(EFni*EDc*((IRSc/'SF&amp;RfD'!G27)*0.000001+(IRAc/'SF&amp;RfD'!I27)*(1/C39)+(SAc/'SF&amp;RfD'!G27)*AFc*'SF&amp;RfD'!K27*0.000001))</f>
        <v>11766.01238166913</v>
      </c>
      <c r="H39" s="154"/>
      <c r="I39" s="183">
        <f>+MIN(E39:H39)</f>
        <v>11766.01238166913</v>
      </c>
      <c r="J39" s="183">
        <f>+IF(MAX(Soilni!I39,'Quantitation limits'!B27)&gt;10000,10000,MAX(Soilni!I39,'Quantitation limits'!B27))</f>
        <v>10000</v>
      </c>
      <c r="K39" s="214" t="str">
        <f>+IF(J39=E39,"C",IF(J39=F39,"C",IF(J39=G39,"N",IF(J39=H39,"N",IF(J39='Quantitation limits'!B27,"Q",IF(J39=10000,"O,T","?"))))))</f>
        <v>O,T</v>
      </c>
      <c r="L39" s="84"/>
      <c r="M39" s="12"/>
      <c r="N39" s="12"/>
      <c r="O39" s="12"/>
      <c r="P39" s="12"/>
      <c r="Q39" s="12"/>
    </row>
    <row r="40" spans="1:17" ht="12.75">
      <c r="A40" s="213" t="str">
        <f>'SF&amp;RfD'!A28</f>
        <v>Aliphatics &gt;C8-C10</v>
      </c>
      <c r="B40" s="154">
        <f>((na^(10/3)*'Chem&amp;Phy data'!H28*'Chem&amp;Phy data'!F28*41+nw^(10/3)*'Chem&amp;Phy data'!J28)/n^2)/(pb*'Chem&amp;Phy data'!D28*foc+nw+na*'Chem&amp;Phy data'!F28*41)</f>
        <v>0.0003223223200000006</v>
      </c>
      <c r="C40" s="154">
        <f t="shared" si="5"/>
        <v>3048.090900672569</v>
      </c>
      <c r="D40" s="171" t="s">
        <v>83</v>
      </c>
      <c r="E40" s="154" t="s">
        <v>83</v>
      </c>
      <c r="F40" s="154"/>
      <c r="G40" s="154">
        <f>(THQ*BWc*ATnc*365)/(EFni*EDc*((IRSc/'SF&amp;RfD'!G28)*0.000001+(IRAc/'SF&amp;RfD'!I28)*(1/C40)+(SAc/'SF&amp;RfD'!G28)*AFc*'SF&amp;RfD'!K28*0.000001))</f>
        <v>1175.0146756363445</v>
      </c>
      <c r="H40" s="154"/>
      <c r="I40" s="183">
        <f aca="true" t="shared" si="6" ref="I40:I48">+MIN(E40:H40)</f>
        <v>1175.0146756363445</v>
      </c>
      <c r="J40" s="183">
        <f>+IF(MAX(Soilni!I40,'Quantitation limits'!B28)&gt;10000,10000,MAX(Soilni!I40,'Quantitation limits'!B28))</f>
        <v>1175.0146756363445</v>
      </c>
      <c r="K40" s="214" t="str">
        <f>+IF(J40=E40,"C",IF(J40=F40,"C",IF(J40=G40,"N",IF(J40=H40,"N",IF(J40='Quantitation limits'!B28,"Q",IF(J40=10000,"O,T","?"))))))</f>
        <v>N</v>
      </c>
      <c r="L40" s="84"/>
      <c r="M40" s="12"/>
      <c r="N40" s="12"/>
      <c r="O40" s="12"/>
      <c r="P40" s="12"/>
      <c r="Q40" s="12"/>
    </row>
    <row r="41" spans="1:17" ht="12.75">
      <c r="A41" s="213" t="str">
        <f>'SF&amp;RfD'!A29</f>
        <v>Aliphatics &gt;C10-C12</v>
      </c>
      <c r="B41" s="154">
        <f>((na^(10/3)*'Chem&amp;Phy data'!H29*'Chem&amp;Phy data'!F29*41+nw^(10/3)*'Chem&amp;Phy data'!J29)/n^2)/(pb*'Chem&amp;Phy data'!D29*foc+nw+na*'Chem&amp;Phy data'!F29*41)</f>
        <v>6.281230511438967E-05</v>
      </c>
      <c r="C41" s="154">
        <f t="shared" si="5"/>
        <v>6904.794200330579</v>
      </c>
      <c r="D41" s="171" t="s">
        <v>83</v>
      </c>
      <c r="E41" s="154" t="s">
        <v>83</v>
      </c>
      <c r="F41" s="154"/>
      <c r="G41" s="154">
        <f>(THQ*BWc*ATnc*365)/(EFni*EDc*((IRSc/'SF&amp;RfD'!G29)*0.000001+(IRAc/'SF&amp;RfD'!I29)*(1/C41)+(SAc/'SF&amp;RfD'!G29)*AFc*'SF&amp;RfD'!K29*0.000001))</f>
        <v>2291.133118266487</v>
      </c>
      <c r="H41" s="154"/>
      <c r="I41" s="183">
        <f t="shared" si="6"/>
        <v>2291.133118266487</v>
      </c>
      <c r="J41" s="183">
        <f>+IF(MAX(Soilni!I41,'Quantitation limits'!B29)&gt;10000,10000,MAX(Soilni!I41,'Quantitation limits'!B29))</f>
        <v>2291.133118266487</v>
      </c>
      <c r="K41" s="214" t="str">
        <f>+IF(J41=E41,"C",IF(J41=F41,"C",IF(J41=G41,"N",IF(J41=H41,"N",IF(J41='Quantitation limits'!B29,"Q",IF(J41=10000,"O,T","?"))))))</f>
        <v>N</v>
      </c>
      <c r="L41" s="84"/>
      <c r="M41" s="12"/>
      <c r="N41" s="12"/>
      <c r="O41" s="12"/>
      <c r="P41" s="12"/>
      <c r="Q41" s="12"/>
    </row>
    <row r="42" spans="1:17" ht="12.75">
      <c r="A42" s="213" t="str">
        <f>'SF&amp;RfD'!A30</f>
        <v>Aliphatics &gt;C12-C16</v>
      </c>
      <c r="B42" s="154">
        <f>((na^(10/3)*'Chem&amp;Phy data'!H30*'Chem&amp;Phy data'!F30*41+nw^(10/3)*'Chem&amp;Phy data'!J30)/n^2)/(pb*'Chem&amp;Phy data'!D30*foc+nw+na*'Chem&amp;Phy data'!F30*41)</f>
        <v>1.3720510757018227E-05</v>
      </c>
      <c r="C42" s="154">
        <f t="shared" si="5"/>
        <v>14773.65541921079</v>
      </c>
      <c r="D42" s="171" t="s">
        <v>83</v>
      </c>
      <c r="E42" s="154" t="s">
        <v>83</v>
      </c>
      <c r="F42" s="154"/>
      <c r="G42" s="154">
        <f>(THQ*BWc*ATnc*365)/(EFni*EDc*((IRSc/'SF&amp;RfD'!G30)*0.000001+(IRAc/'SF&amp;RfD'!I30)*(1/C42)+(SAc/'SF&amp;RfD'!G30)*AFc*'SF&amp;RfD'!K30*0.000001))</f>
        <v>3675.251490256193</v>
      </c>
      <c r="H42" s="154"/>
      <c r="I42" s="183">
        <f t="shared" si="6"/>
        <v>3675.251490256193</v>
      </c>
      <c r="J42" s="183">
        <f>+IF(MAX(Soilni!I42,'Quantitation limits'!B30)&gt;10000,10000,MAX(Soilni!I42,'Quantitation limits'!B30))</f>
        <v>3675.251490256193</v>
      </c>
      <c r="K42" s="214" t="str">
        <f>+IF(J42=E42,"C",IF(J42=F42,"C",IF(J42=G42,"N",IF(J42=H42,"N",IF(J42='Quantitation limits'!B30,"Q",IF(J42=10000,"O,T","?"))))))</f>
        <v>N</v>
      </c>
      <c r="L42" s="84"/>
      <c r="M42" s="12"/>
      <c r="N42" s="12"/>
      <c r="O42" s="12"/>
      <c r="P42" s="12"/>
      <c r="Q42" s="12"/>
    </row>
    <row r="43" spans="1:17" ht="12.75">
      <c r="A43" s="213" t="str">
        <f>'SF&amp;RfD'!A31</f>
        <v>Aliphatics &gt;C16-C35</v>
      </c>
      <c r="B43" s="154">
        <f>((na^(10/3)*'Chem&amp;Phy data'!H31*'Chem&amp;Phy data'!F31*41+nw^(10/3)*'Chem&amp;Phy data'!J31)/n^2)/(pb*'Chem&amp;Phy data'!D31*foc+nw+na*'Chem&amp;Phy data'!F31*41)</f>
        <v>1.0269357173231648E-06</v>
      </c>
      <c r="C43" s="154">
        <f t="shared" si="5"/>
        <v>54000.959321266826</v>
      </c>
      <c r="D43" s="171" t="s">
        <v>83</v>
      </c>
      <c r="E43" s="154" t="s">
        <v>83</v>
      </c>
      <c r="F43" s="154"/>
      <c r="G43" s="154">
        <f>(THQ*BWc*ATnc*365)/(EFni*EDc*((IRSc/'SF&amp;RfD'!G31)*0.000001+(IRAc/'SF&amp;RfD'!I31)*(1/C43)+(SAc/'SF&amp;RfD'!G31)*AFc*'SF&amp;RfD'!K31*0.000001))</f>
        <v>70913.41374751009</v>
      </c>
      <c r="H43" s="154"/>
      <c r="I43" s="183">
        <f t="shared" si="6"/>
        <v>70913.41374751009</v>
      </c>
      <c r="J43" s="183">
        <f>+IF(MAX(Soilni!I43,'Quantitation limits'!B31)&gt;10000,10000,MAX(Soilni!I43,'Quantitation limits'!B31))</f>
        <v>10000</v>
      </c>
      <c r="K43" s="214" t="str">
        <f>+IF(J43=E43,"C",IF(J43=F43,"C",IF(J43=G43,"N",IF(J43=H43,"N",IF(J43='Quantitation limits'!B31,"Q",IF(J43=10000,"O,T","?"))))))</f>
        <v>O,T</v>
      </c>
      <c r="L43" s="84"/>
      <c r="M43" s="12"/>
      <c r="N43" s="12"/>
      <c r="O43" s="12"/>
      <c r="P43" s="12"/>
      <c r="Q43" s="12"/>
    </row>
    <row r="44" spans="1:17" ht="12.75">
      <c r="A44" s="213" t="str">
        <f>'SF&amp;RfD'!A32</f>
        <v>Aromatics &gt;C8-C10</v>
      </c>
      <c r="B44" s="154">
        <f>((na^(10/3)*'Chem&amp;Phy data'!H32*'Chem&amp;Phy data'!F32*41+nw^(10/3)*'Chem&amp;Phy data'!J32)/n^2)/(pb*'Chem&amp;Phy data'!D32*foc+nw+na*'Chem&amp;Phy data'!F32*41)</f>
        <v>3.937363847380037E-05</v>
      </c>
      <c r="C44" s="154">
        <f t="shared" si="5"/>
        <v>8721.08119702417</v>
      </c>
      <c r="D44" s="171" t="s">
        <v>83</v>
      </c>
      <c r="E44" s="154" t="s">
        <v>83</v>
      </c>
      <c r="F44" s="154"/>
      <c r="G44" s="154">
        <f>(THQ*BWc*ATnc*365)/(EFni*EDc*((IRSc/'SF&amp;RfD'!G32)*0.000001+(IRAc/'SF&amp;RfD'!I32)*(1/C44)+(SAc/'SF&amp;RfD'!G32)*AFc*'SF&amp;RfD'!K32*0.000001))</f>
        <v>648.7909952845891</v>
      </c>
      <c r="H44" s="154"/>
      <c r="I44" s="183">
        <f t="shared" si="6"/>
        <v>648.7909952845891</v>
      </c>
      <c r="J44" s="183">
        <f>+IF(MAX(Soilni!I44,'Quantitation limits'!B32)&gt;10000,10000,MAX(Soilni!I44,'Quantitation limits'!B32))</f>
        <v>648.7909952845891</v>
      </c>
      <c r="K44" s="214" t="str">
        <f>+IF(J44=E44,"C",IF(J44=F44,"C",IF(J44=G44,"N",IF(J44=H44,"N",IF(J44='Quantitation limits'!B32,"Q",IF(J44=10000,"O,T","?"))))))</f>
        <v>N</v>
      </c>
      <c r="L44" s="84"/>
      <c r="M44" s="12"/>
      <c r="N44" s="12"/>
      <c r="O44" s="12"/>
      <c r="P44" s="12"/>
      <c r="Q44" s="12"/>
    </row>
    <row r="45" spans="1:17" ht="12.75">
      <c r="A45" s="213" t="str">
        <f>'SF&amp;RfD'!A33</f>
        <v>Aromatics &gt;C10-C12</v>
      </c>
      <c r="B45" s="154">
        <f>((na^(10/3)*'Chem&amp;Phy data'!H33*'Chem&amp;Phy data'!F33*41+nw^(10/3)*'Chem&amp;Phy data'!J33)/n^2)/(pb*'Chem&amp;Phy data'!D33*foc+nw+na*'Chem&amp;Phy data'!F33*41)</f>
        <v>7.312528859987294E-06</v>
      </c>
      <c r="C45" s="154">
        <f t="shared" si="5"/>
        <v>20236.682040260297</v>
      </c>
      <c r="D45" s="171" t="s">
        <v>83</v>
      </c>
      <c r="E45" s="154" t="s">
        <v>83</v>
      </c>
      <c r="F45" s="154"/>
      <c r="G45" s="154">
        <f>(THQ*BWc*ATnc*365)/(EFni*EDc*((IRSc/'SF&amp;RfD'!G33)*0.000001+(IRAc/'SF&amp;RfD'!I33)*(1/C45)+(SAc/'SF&amp;RfD'!G33)*AFc*'SF&amp;RfD'!K33*0.000001))</f>
        <v>1181.8534080811814</v>
      </c>
      <c r="H45" s="154"/>
      <c r="I45" s="183">
        <f t="shared" si="6"/>
        <v>1181.8534080811814</v>
      </c>
      <c r="J45" s="183">
        <f>+IF(MAX(Soilni!I45,'Quantitation limits'!B33)&gt;10000,10000,MAX(Soilni!I45,'Quantitation limits'!B33))</f>
        <v>1181.8534080811814</v>
      </c>
      <c r="K45" s="214" t="str">
        <f>+IF(J45=E45,"C",IF(J45=F45,"C",IF(J45=G45,"N",IF(J45=H45,"N",IF(J45='Quantitation limits'!B33,"Q",IF(J45=10000,"O,T","?"))))))</f>
        <v>N</v>
      </c>
      <c r="L45" s="84"/>
      <c r="M45" s="12"/>
      <c r="N45" s="12"/>
      <c r="O45" s="12"/>
      <c r="P45" s="12"/>
      <c r="Q45" s="12"/>
    </row>
    <row r="46" spans="1:17" ht="12.75">
      <c r="A46" s="213" t="str">
        <f>'SF&amp;RfD'!A34</f>
        <v>Aromatics &gt;C12-C16</v>
      </c>
      <c r="B46" s="154">
        <f>((na^(10/3)*'Chem&amp;Phy data'!H34*'Chem&amp;Phy data'!F34*41+nw^(10/3)*'Chem&amp;Phy data'!J34)/n^2)/(pb*'Chem&amp;Phy data'!D34*foc+nw+na*'Chem&amp;Phy data'!F34*41)</f>
        <v>1.3981834752799995E-06</v>
      </c>
      <c r="C46" s="154">
        <f t="shared" si="5"/>
        <v>46279.751903602446</v>
      </c>
      <c r="D46" s="171" t="s">
        <v>83</v>
      </c>
      <c r="E46" s="154" t="s">
        <v>83</v>
      </c>
      <c r="F46" s="154"/>
      <c r="G46" s="154">
        <f>(THQ*BWc*ATnc*365)/(EFni*EDc*((IRSc/'SF&amp;RfD'!G34)*0.000001+(IRAc/'SF&amp;RfD'!I34)*(1/C46)+(SAc/'SF&amp;RfD'!G34)*AFc*'SF&amp;RfD'!K34*0.000001))</f>
        <v>1818.6647219622007</v>
      </c>
      <c r="H46" s="154"/>
      <c r="I46" s="183">
        <f t="shared" si="6"/>
        <v>1818.6647219622007</v>
      </c>
      <c r="J46" s="183">
        <f>+IF(MAX(Soilni!I46,'Quantitation limits'!B34)&gt;10000,10000,MAX(Soilni!I46,'Quantitation limits'!B34))</f>
        <v>1818.6647219622007</v>
      </c>
      <c r="K46" s="214" t="str">
        <f>+IF(J46=E46,"C",IF(J46=F46,"C",IF(J46=G46,"N",IF(J46=H46,"N",IF(J46='Quantitation limits'!B34,"Q",IF(J46=10000,"O,T","?"))))))</f>
        <v>N</v>
      </c>
      <c r="L46" s="84"/>
      <c r="M46" s="12"/>
      <c r="N46" s="12"/>
      <c r="O46" s="12"/>
      <c r="P46" s="12"/>
      <c r="Q46" s="12"/>
    </row>
    <row r="47" spans="1:17" ht="12.75">
      <c r="A47" s="213" t="str">
        <f>'SF&amp;RfD'!A35</f>
        <v>Aromatics &gt;C16-C21</v>
      </c>
      <c r="B47" s="154">
        <f>((na^(10/3)*'Chem&amp;Phy data'!H35*'Chem&amp;Phy data'!F35*41+nw^(10/3)*'Chem&amp;Phy data'!J35)/n^2)/(pb*'Chem&amp;Phy data'!D35*foc+nw+na*'Chem&amp;Phy data'!F35*41)</f>
        <v>1.1096783768463959E-07</v>
      </c>
      <c r="C47" s="154">
        <f t="shared" si="5"/>
        <v>164276.16013218567</v>
      </c>
      <c r="D47" s="171" t="s">
        <v>83</v>
      </c>
      <c r="E47" s="154" t="s">
        <v>83</v>
      </c>
      <c r="F47" s="154"/>
      <c r="G47" s="154">
        <f>(THQ*BWc*ATnc*365)/(EFni*EDc*((IRSc/'SF&amp;RfD'!G35)*0.000001+(IRAc/'SF&amp;RfD'!I35)*(1/C47)+(SAc/'SF&amp;RfD'!G35)*AFc*'SF&amp;RfD'!K35*0.000001))</f>
        <v>1480.9894130566297</v>
      </c>
      <c r="H47" s="154"/>
      <c r="I47" s="183">
        <f t="shared" si="6"/>
        <v>1480.9894130566297</v>
      </c>
      <c r="J47" s="183">
        <f>+IF(MAX(Soilni!I47,'Quantitation limits'!B35)&gt;10000,10000,MAX(Soilni!I47,'Quantitation limits'!B35))</f>
        <v>1480.9894130566297</v>
      </c>
      <c r="K47" s="214" t="str">
        <f>+IF(J47=E47,"C",IF(J47=F47,"C",IF(J47=G47,"N",IF(J47=H47,"N",IF(J47='Quantitation limits'!B35,"Q",IF(J47=10000,"O,T","?"))))))</f>
        <v>N</v>
      </c>
      <c r="L47" s="84"/>
      <c r="M47" s="12"/>
      <c r="N47" s="12"/>
      <c r="O47" s="12"/>
      <c r="P47" s="12"/>
      <c r="Q47" s="12"/>
    </row>
    <row r="48" spans="1:17" ht="12.75">
      <c r="A48" s="213" t="str">
        <f>'SF&amp;RfD'!A36</f>
        <v>Aromatics &gt;C21-C35</v>
      </c>
      <c r="B48" s="154">
        <f>((na^(10/3)*'Chem&amp;Phy data'!H36*'Chem&amp;Phy data'!F36*41+nw^(10/3)*'Chem&amp;Phy data'!J36)/n^2)/(pb*'Chem&amp;Phy data'!D36*foc+nw+na*'Chem&amp;Phy data'!F36*41)</f>
        <v>1.0355130931084306E-09</v>
      </c>
      <c r="C48" s="154">
        <f t="shared" si="5"/>
        <v>1700573.1091436993</v>
      </c>
      <c r="D48" s="171" t="s">
        <v>83</v>
      </c>
      <c r="E48" s="154" t="s">
        <v>83</v>
      </c>
      <c r="F48" s="154"/>
      <c r="G48" s="154">
        <f>(THQ*BWc*ATnc*365)/(EFni*EDc*((IRSc/'SF&amp;RfD'!G36)*0.000001+(IRAc/'SF&amp;RfD'!I36)*(1/C48)+(SAc/'SF&amp;RfD'!G36)*AFc*'SF&amp;RfD'!K36*0.000001))</f>
        <v>1791.9850706290772</v>
      </c>
      <c r="H48" s="154"/>
      <c r="I48" s="183">
        <f t="shared" si="6"/>
        <v>1791.9850706290772</v>
      </c>
      <c r="J48" s="183">
        <f>+IF(MAX(Soilni!I48,'Quantitation limits'!B36)&gt;10000,10000,MAX(Soilni!I48,'Quantitation limits'!B36))</f>
        <v>1791.9850706290772</v>
      </c>
      <c r="K48" s="214" t="str">
        <f>+IF(J48=E48,"C",IF(J48=F48,"C",IF(J48=G48,"N",IF(J48=H48,"N",IF(J48='Quantitation limits'!B36,"Q",IF(J48=10000,"O,T","?"))))))</f>
        <v>N</v>
      </c>
      <c r="L48" s="84"/>
      <c r="M48" s="12"/>
      <c r="N48" s="12"/>
      <c r="O48" s="12"/>
      <c r="P48" s="12"/>
      <c r="Q48" s="12"/>
    </row>
    <row r="49" spans="1:18" ht="12.75">
      <c r="A49" s="213" t="s">
        <v>501</v>
      </c>
      <c r="B49" s="171"/>
      <c r="C49" s="171"/>
      <c r="D49" s="171"/>
      <c r="E49" s="171"/>
      <c r="F49" s="171"/>
      <c r="G49" s="171"/>
      <c r="H49" s="171"/>
      <c r="I49" s="183">
        <f>+MIN(I39:I40,I44)</f>
        <v>648.7909952845891</v>
      </c>
      <c r="J49" s="183">
        <f>+MIN(J39:J40,J44)</f>
        <v>648.7909952845891</v>
      </c>
      <c r="K49" s="214"/>
      <c r="L49" s="84"/>
      <c r="M49" s="12"/>
      <c r="N49" s="12"/>
      <c r="O49" s="12"/>
      <c r="P49" s="12"/>
      <c r="Q49" s="12"/>
      <c r="R49" s="7"/>
    </row>
    <row r="50" spans="1:18" ht="12.75">
      <c r="A50" s="213" t="s">
        <v>502</v>
      </c>
      <c r="B50" s="171"/>
      <c r="C50" s="171"/>
      <c r="D50" s="171"/>
      <c r="E50" s="171"/>
      <c r="F50" s="171"/>
      <c r="G50" s="171"/>
      <c r="H50" s="171"/>
      <c r="I50" s="183">
        <f>+MIN(I40:I43,I44:I48)</f>
        <v>648.7909952845891</v>
      </c>
      <c r="J50" s="183">
        <f>+MIN(J40:J43,J44:J48)</f>
        <v>648.7909952845891</v>
      </c>
      <c r="K50" s="214"/>
      <c r="L50" s="84"/>
      <c r="M50" s="12"/>
      <c r="N50" s="12"/>
      <c r="O50" s="12"/>
      <c r="P50" s="12"/>
      <c r="Q50" s="12"/>
      <c r="R50" s="7"/>
    </row>
    <row r="51" spans="1:18" ht="12.75">
      <c r="A51" s="215" t="s">
        <v>503</v>
      </c>
      <c r="B51" s="174"/>
      <c r="C51" s="174"/>
      <c r="D51" s="174"/>
      <c r="E51" s="174"/>
      <c r="F51" s="174"/>
      <c r="G51" s="174"/>
      <c r="H51" s="174"/>
      <c r="I51" s="184">
        <f>+MIN(I43,I48)</f>
        <v>1791.9850706290772</v>
      </c>
      <c r="J51" s="184">
        <f>+MIN(J43,J48)</f>
        <v>1791.9850706290772</v>
      </c>
      <c r="K51" s="216"/>
      <c r="L51" s="84"/>
      <c r="M51" s="12"/>
      <c r="N51" s="12"/>
      <c r="O51" s="12"/>
      <c r="P51" s="12"/>
      <c r="Q51" s="12"/>
      <c r="R51" s="7"/>
    </row>
    <row r="52" spans="1:1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10"/>
      <c r="L52" s="9"/>
      <c r="M52" s="9"/>
      <c r="N52" s="9"/>
      <c r="O52" s="9"/>
      <c r="P52" s="7"/>
      <c r="Q52" s="7"/>
      <c r="R52" s="7"/>
    </row>
    <row r="53" spans="1:1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10"/>
      <c r="L53" s="9"/>
      <c r="M53" s="9"/>
      <c r="N53" s="9"/>
      <c r="O53" s="9"/>
      <c r="P53" s="7"/>
      <c r="Q53" s="7"/>
      <c r="R53" s="7"/>
    </row>
    <row r="54" spans="12:18" ht="12.75">
      <c r="L54" s="9"/>
      <c r="M54" s="9"/>
      <c r="N54" s="9"/>
      <c r="O54" s="9"/>
      <c r="P54" s="7"/>
      <c r="Q54" s="7"/>
      <c r="R54" s="7"/>
    </row>
    <row r="55" spans="1:18" ht="12.75">
      <c r="A55" s="120" t="str">
        <f>'SF&amp;RfD'!A55</f>
        <v>ADDITIONAL COMPOUNDS</v>
      </c>
      <c r="B55" s="9"/>
      <c r="C55" s="9"/>
      <c r="D55" s="9"/>
      <c r="E55" s="9"/>
      <c r="F55" s="9"/>
      <c r="G55" s="9"/>
      <c r="H55" s="9"/>
      <c r="I55" s="9"/>
      <c r="J55" s="9"/>
      <c r="K55" s="10"/>
      <c r="L55" s="7"/>
      <c r="M55" s="9"/>
      <c r="N55" s="9"/>
      <c r="O55" s="9"/>
      <c r="P55" s="7"/>
      <c r="Q55" s="7"/>
      <c r="R55" s="7"/>
    </row>
    <row r="56" spans="1:18" ht="12.75">
      <c r="A56" s="19" t="str">
        <f>'SF&amp;RfD'!A56</f>
        <v>ORGANIC COUMPOUNDS</v>
      </c>
      <c r="B56" s="13"/>
      <c r="C56" s="13"/>
      <c r="D56" s="13"/>
      <c r="E56" s="13"/>
      <c r="F56" s="13"/>
      <c r="G56" s="13"/>
      <c r="H56" s="13"/>
      <c r="I56" s="13"/>
      <c r="J56" s="13"/>
      <c r="K56" s="28"/>
      <c r="L56" s="9"/>
      <c r="M56" s="9"/>
      <c r="N56" s="9"/>
      <c r="O56" s="9"/>
      <c r="P56" s="7"/>
      <c r="Q56" s="7"/>
      <c r="R56" s="7"/>
    </row>
    <row r="57" spans="1:18" ht="12.75">
      <c r="A57" s="19" t="str">
        <f>'SF&amp;RfD'!A57</f>
        <v>Benzene</v>
      </c>
      <c r="B57" s="20">
        <f>((na^(10/3)*'Chem&amp;Phy data'!H57*'Chem&amp;Phy data'!F57*41+nw^(10/3)*'Chem&amp;Phy data'!J57)/n^2)/(pb*'Chem&amp;Phy data'!D57*foc+nw+na*'Chem&amp;Phy data'!F57*41)</f>
        <v>0.0003098818385796398</v>
      </c>
      <c r="C57" s="20">
        <f aca="true" t="shared" si="7" ref="C57:C63">(Q\C*0.0001*(3.14*B57*Tnic)^0.5)/(2*pb*B57)</f>
        <v>3108.6730101594485</v>
      </c>
      <c r="D57" s="20">
        <f aca="true" t="shared" si="8" ref="D57:D63">(Q\C*0.0001*(3.14*B57*Tnia)^0.5)/(2*pb*B57)</f>
        <v>6963.205887065158</v>
      </c>
      <c r="E57" s="20">
        <f>(TR*ATc*365)/(EFni*('SF&amp;RfD'!C57*0.000001*IRSadj+'SF&amp;RfD'!E57*(IRAadj/D57)+'SF&amp;RfD'!C57*0.000001*'SF&amp;RfD'!K57*IRDadj))</f>
        <v>1.4552781611559986</v>
      </c>
      <c r="F57" s="20"/>
      <c r="G57" s="20">
        <f>(THQ*BWc*ATnc*365)/(EFni*EDc*((IRSc/'SF&amp;RfD'!G57)*0.000001+(IRAc/'SF&amp;RfD'!I57)*(1/C57)+(SAc/'SF&amp;RfD'!G57)*AFc*'SF&amp;RfD'!K57*0.000001))</f>
        <v>7.9546417322885015</v>
      </c>
      <c r="H57" s="20"/>
      <c r="I57" s="18">
        <f aca="true" t="shared" si="9" ref="I57:I63">+MIN(E57:H57)</f>
        <v>1.4552781611559986</v>
      </c>
      <c r="J57" s="18">
        <f>+IF(MAX(Soilni!I57,'Quantitation limits'!B47)&gt;1000000,1000000,MAX(Soilni!I57,'Quantitation limits'!B47))</f>
        <v>1.4552781611559986</v>
      </c>
      <c r="K57" s="24" t="str">
        <f>+IF(J57=E57,"C",IF(J57=F57,"C",IF(J57=G57,"N",IF(J57=H57,"N",IF(J57='Quantitation limits'!B47,"Q",IF(J57&gt;1000000,1000000,IF(J57=1000000,"O","?")))))))</f>
        <v>C</v>
      </c>
      <c r="L57" s="9"/>
      <c r="M57" s="9"/>
      <c r="N57" s="9"/>
      <c r="O57" s="9"/>
      <c r="P57" s="7"/>
      <c r="Q57" s="7"/>
      <c r="R57" s="7"/>
    </row>
    <row r="58" spans="1:18" ht="12.75">
      <c r="A58" s="19" t="str">
        <f>'SF&amp;RfD'!A58</f>
        <v>Benzene</v>
      </c>
      <c r="B58" s="20">
        <f>((na^(10/3)*'Chem&amp;Phy data'!H58*'Chem&amp;Phy data'!F58*41+nw^(10/3)*'Chem&amp;Phy data'!J58)/n^2)/(pb*'Chem&amp;Phy data'!D58*foc+nw+na*'Chem&amp;Phy data'!F58*41)</f>
        <v>0.0003098818385796398</v>
      </c>
      <c r="C58" s="20">
        <f t="shared" si="7"/>
        <v>3108.6730101594485</v>
      </c>
      <c r="D58" s="20">
        <f t="shared" si="8"/>
        <v>6963.205887065158</v>
      </c>
      <c r="E58" s="20">
        <f>(TR*ATc*365)/(EFni*('SF&amp;RfD'!C58*0.000001*IRSadj+'SF&amp;RfD'!E58*(IRAadj/D58)+'SF&amp;RfD'!C58*0.000001*'SF&amp;RfD'!K58*IRDadj))</f>
        <v>1.4552781611559986</v>
      </c>
      <c r="F58" s="20"/>
      <c r="G58" s="20">
        <f>(THQ*BWc*ATnc*365)/(EFni*EDc*((IRSc/'SF&amp;RfD'!G58)*0.000001+(IRAc/'SF&amp;RfD'!I58)*(1/C58)+(SAc/'SF&amp;RfD'!G58)*AFc*'SF&amp;RfD'!K58*0.000001))</f>
        <v>7.9546417322885015</v>
      </c>
      <c r="H58" s="20"/>
      <c r="I58" s="18">
        <f t="shared" si="9"/>
        <v>1.4552781611559986</v>
      </c>
      <c r="J58" s="18">
        <f>+IF(MAX(Soilni!I58,'Quantitation limits'!B48)&gt;1000000,1000000,MAX(Soilni!I58,'Quantitation limits'!B48))</f>
        <v>1.4552781611559986</v>
      </c>
      <c r="K58" s="24" t="str">
        <f>+IF(J58=E58,"C",IF(J58=F58,"C",IF(J58=G58,"N",IF(J58=H58,"N",IF(J58='Quantitation limits'!B48,"Q",IF(J58&gt;1000000,1000000,IF(J58=1000000,"O","?")))))))</f>
        <v>C</v>
      </c>
      <c r="L58" s="9"/>
      <c r="M58" s="9"/>
      <c r="N58" s="9"/>
      <c r="O58" s="9"/>
      <c r="P58" s="7"/>
      <c r="Q58" s="7"/>
      <c r="R58" s="7"/>
    </row>
    <row r="59" spans="1:18" ht="12.75">
      <c r="A59" s="19" t="str">
        <f>'SF&amp;RfD'!A59</f>
        <v>Benzene</v>
      </c>
      <c r="B59" s="20">
        <f>((na^(10/3)*'Chem&amp;Phy data'!H59*'Chem&amp;Phy data'!F59*41+nw^(10/3)*'Chem&amp;Phy data'!J59)/n^2)/(pb*'Chem&amp;Phy data'!D59*foc+nw+na*'Chem&amp;Phy data'!F59*41)</f>
        <v>0.0003098818385796398</v>
      </c>
      <c r="C59" s="20">
        <f t="shared" si="7"/>
        <v>3108.6730101594485</v>
      </c>
      <c r="D59" s="20">
        <f t="shared" si="8"/>
        <v>6963.205887065158</v>
      </c>
      <c r="E59" s="20">
        <f>(TR*ATc*365)/(EFni*('SF&amp;RfD'!C59*0.000001*IRSadj+'SF&amp;RfD'!E59*(IRAadj/D59)+'SF&amp;RfD'!C59*0.000001*'SF&amp;RfD'!K59*IRDadj))</f>
        <v>1.4552781611559986</v>
      </c>
      <c r="F59" s="20"/>
      <c r="G59" s="20">
        <f>(THQ*BWc*ATnc*365)/(EFni*EDc*((IRSc/'SF&amp;RfD'!G59)*0.000001+(IRAc/'SF&amp;RfD'!I59)*(1/C59)+(SAc/'SF&amp;RfD'!G59)*AFc*'SF&amp;RfD'!K59*0.000001))</f>
        <v>7.9546417322885015</v>
      </c>
      <c r="H59" s="20"/>
      <c r="I59" s="18">
        <f t="shared" si="9"/>
        <v>1.4552781611559986</v>
      </c>
      <c r="J59" s="18">
        <f>+IF(MAX(Soilni!I59,'Quantitation limits'!B49)&gt;1000000,1000000,MAX(Soilni!I59,'Quantitation limits'!B49))</f>
        <v>1.4552781611559986</v>
      </c>
      <c r="K59" s="24" t="str">
        <f>+IF(J59=E59,"C",IF(J59=F59,"C",IF(J59=G59,"N",IF(J59=H59,"N",IF(J59='Quantitation limits'!B49,"Q",IF(J59&gt;1000000,1000000,IF(J59=1000000,"O","?")))))))</f>
        <v>C</v>
      </c>
      <c r="L59" s="9"/>
      <c r="M59" s="9"/>
      <c r="N59" s="9"/>
      <c r="O59" s="9"/>
      <c r="P59" s="7"/>
      <c r="Q59" s="7"/>
      <c r="R59" s="7"/>
    </row>
    <row r="60" spans="1:15" ht="12.75">
      <c r="A60" s="19" t="str">
        <f>'SF&amp;RfD'!A60</f>
        <v>Benzene</v>
      </c>
      <c r="B60" s="20">
        <f>((na^(10/3)*'Chem&amp;Phy data'!H60*'Chem&amp;Phy data'!F60*41+nw^(10/3)*'Chem&amp;Phy data'!J60)/n^2)/(pb*'Chem&amp;Phy data'!D60*foc+nw+na*'Chem&amp;Phy data'!F60*41)</f>
        <v>0.0003098818385796398</v>
      </c>
      <c r="C60" s="20">
        <f t="shared" si="7"/>
        <v>3108.6730101594485</v>
      </c>
      <c r="D60" s="20">
        <f t="shared" si="8"/>
        <v>6963.205887065158</v>
      </c>
      <c r="E60" s="20">
        <f>(TR*ATc*365)/(EFni*('SF&amp;RfD'!C60*0.000001*IRSadj+'SF&amp;RfD'!E60*(IRAadj/D60)+'SF&amp;RfD'!C60*0.000001*'SF&amp;RfD'!K60*IRDadj))</f>
        <v>1.4552781611559986</v>
      </c>
      <c r="F60" s="20"/>
      <c r="G60" s="20">
        <f>(THQ*BWc*ATnc*365)/(EFni*EDc*((IRSc/'SF&amp;RfD'!G60)*0.000001+(IRAc/'SF&amp;RfD'!I60)*(1/C60)+(SAc/'SF&amp;RfD'!G60)*AFc*'SF&amp;RfD'!K60*0.000001))</f>
        <v>7.9546417322885015</v>
      </c>
      <c r="H60" s="20"/>
      <c r="I60" s="18">
        <f t="shared" si="9"/>
        <v>1.4552781611559986</v>
      </c>
      <c r="J60" s="18">
        <f>+IF(MAX(Soilni!I60,'Quantitation limits'!B50)&gt;1000000,1000000,MAX(Soilni!I60,'Quantitation limits'!B50))</f>
        <v>1.4552781611559986</v>
      </c>
      <c r="K60" s="24" t="str">
        <f>+IF(J60=E60,"C",IF(J60=F60,"C",IF(J60=G60,"N",IF(J60=H60,"N",IF(J60='Quantitation limits'!B50,"Q",IF(J60&gt;1000000,1000000,IF(J60=1000000,"O","?")))))))</f>
        <v>C</v>
      </c>
      <c r="L60" s="9"/>
      <c r="M60" s="9"/>
      <c r="N60" s="9"/>
      <c r="O60" s="9"/>
    </row>
    <row r="61" spans="1:15" ht="12.75">
      <c r="A61" s="19" t="str">
        <f>'SF&amp;RfD'!A61</f>
        <v>Benzene</v>
      </c>
      <c r="B61" s="20">
        <f>((na^(10/3)*'Chem&amp;Phy data'!H61*'Chem&amp;Phy data'!F61*41+nw^(10/3)*'Chem&amp;Phy data'!J61)/n^2)/(pb*'Chem&amp;Phy data'!D61*foc+nw+na*'Chem&amp;Phy data'!F61*41)</f>
        <v>0.0003098818385796398</v>
      </c>
      <c r="C61" s="20">
        <f t="shared" si="7"/>
        <v>3108.6730101594485</v>
      </c>
      <c r="D61" s="20">
        <f t="shared" si="8"/>
        <v>6963.205887065158</v>
      </c>
      <c r="E61" s="20">
        <f>(TR*ATc*365)/(EFni*('SF&amp;RfD'!C61*0.000001*IRSadj+'SF&amp;RfD'!E61*(IRAadj/D61)+'SF&amp;RfD'!C61*0.000001*'SF&amp;RfD'!K61*IRDadj))</f>
        <v>1.4552781611559986</v>
      </c>
      <c r="F61" s="20"/>
      <c r="G61" s="20">
        <f>(THQ*BWc*ATnc*365)/(EFni*EDc*((IRSc/'SF&amp;RfD'!G61)*0.000001+(IRAc/'SF&amp;RfD'!I61)*(1/C61)+(SAc/'SF&amp;RfD'!G61)*AFc*'SF&amp;RfD'!K61*0.000001))</f>
        <v>7.9546417322885015</v>
      </c>
      <c r="H61" s="20"/>
      <c r="I61" s="18">
        <f t="shared" si="9"/>
        <v>1.4552781611559986</v>
      </c>
      <c r="J61" s="18">
        <f>+IF(MAX(Soilni!I61,'Quantitation limits'!B51)&gt;1000000,1000000,MAX(Soilni!I61,'Quantitation limits'!B51))</f>
        <v>1.4552781611559986</v>
      </c>
      <c r="K61" s="24" t="str">
        <f>+IF(J61=E61,"C",IF(J61=F61,"C",IF(J61=G61,"N",IF(J61=H61,"N",IF(J61='Quantitation limits'!B51,"Q",IF(J61&gt;1000000,1000000,IF(J61=1000000,"O","?")))))))</f>
        <v>C</v>
      </c>
      <c r="L61" s="9"/>
      <c r="M61" s="9"/>
      <c r="N61" s="9"/>
      <c r="O61" s="9"/>
    </row>
    <row r="62" spans="1:15" ht="12.75">
      <c r="A62" s="19" t="str">
        <f>'SF&amp;RfD'!A62</f>
        <v>Benzene</v>
      </c>
      <c r="B62" s="20">
        <f>((na^(10/3)*'Chem&amp;Phy data'!H62*'Chem&amp;Phy data'!F62*41+nw^(10/3)*'Chem&amp;Phy data'!J62)/n^2)/(pb*'Chem&amp;Phy data'!D62*foc+nw+na*'Chem&amp;Phy data'!F62*41)</f>
        <v>0.0003098818385796398</v>
      </c>
      <c r="C62" s="20">
        <f t="shared" si="7"/>
        <v>3108.6730101594485</v>
      </c>
      <c r="D62" s="20">
        <f t="shared" si="8"/>
        <v>6963.205887065158</v>
      </c>
      <c r="E62" s="20">
        <f>(TR*ATc*365)/(EFni*('SF&amp;RfD'!C62*0.000001*IRSadj+'SF&amp;RfD'!E62*(IRAadj/D62)+'SF&amp;RfD'!C62*0.000001*'SF&amp;RfD'!K62*IRDadj))</f>
        <v>1.4552781611559986</v>
      </c>
      <c r="F62" s="20"/>
      <c r="G62" s="20">
        <f>(THQ*BWc*ATnc*365)/(EFni*EDc*((IRSc/'SF&amp;RfD'!G62)*0.000001+(IRAc/'SF&amp;RfD'!I62)*(1/C62)+(SAc/'SF&amp;RfD'!G62)*AFc*'SF&amp;RfD'!K62*0.000001))</f>
        <v>7.9546417322885015</v>
      </c>
      <c r="H62" s="20"/>
      <c r="I62" s="18">
        <f t="shared" si="9"/>
        <v>1.4552781611559986</v>
      </c>
      <c r="J62" s="18">
        <f>+IF(MAX(Soilni!I62,'Quantitation limits'!B52)&gt;1000000,1000000,MAX(Soilni!I62,'Quantitation limits'!B52))</f>
        <v>1.4552781611559986</v>
      </c>
      <c r="K62" s="24" t="str">
        <f>+IF(J62=E62,"C",IF(J62=F62,"C",IF(J62=G62,"N",IF(J62=H62,"N",IF(J62='Quantitation limits'!B52,"Q",IF(J62&gt;1000000,1000000,IF(J62=1000000,"O","?")))))))</f>
        <v>C</v>
      </c>
      <c r="L62" s="9"/>
      <c r="M62" s="9"/>
      <c r="N62" s="9"/>
      <c r="O62" s="9"/>
    </row>
    <row r="63" spans="1:15" ht="12.75">
      <c r="A63" s="19" t="str">
        <f>'SF&amp;RfD'!A63</f>
        <v>Formaldehyde</v>
      </c>
      <c r="B63" s="20">
        <f>((na^(10/3)*'Chem&amp;Phy data'!H63*'Chem&amp;Phy data'!F63*41+nw^(10/3)*'Chem&amp;Phy data'!J63)/n^2)/(pb*'Chem&amp;Phy data'!D63*foc+nw+na*'Chem&amp;Phy data'!F63*41)</f>
        <v>3.6048757026583307E-06</v>
      </c>
      <c r="C63" s="20">
        <f t="shared" si="7"/>
        <v>28822.255071791387</v>
      </c>
      <c r="D63" s="20">
        <f t="shared" si="8"/>
        <v>64559.79626628452</v>
      </c>
      <c r="E63" s="20">
        <f>(TR*ATc*365)/(EFni*('SF&amp;RfD'!C63*0.000001*IRSadj+'SF&amp;RfD'!E63*(IRAadj/D63)+'SF&amp;RfD'!C63*0.000001*'SF&amp;RfD'!K63*IRDadj))</f>
        <v>4.9532847176365635</v>
      </c>
      <c r="F63" s="20"/>
      <c r="G63" s="20">
        <f>(THQ*BWc*ATnc*365)/(EFni*EDc*((IRSc/'SF&amp;RfD'!G63)*0.000001+(IRAc/'SF&amp;RfD'!I63)*(1/C63)+(SAc/'SF&amp;RfD'!G63)*AFc*'SF&amp;RfD'!K63*0.000001))</f>
        <v>5188.738829163182</v>
      </c>
      <c r="H63" s="20"/>
      <c r="I63" s="18">
        <f t="shared" si="9"/>
        <v>4.9532847176365635</v>
      </c>
      <c r="J63" s="18">
        <f>+IF(MAX(Soilni!I63,'Quantitation limits'!B53)&gt;1000000,1000000,MAX(Soilni!I63,'Quantitation limits'!B53))</f>
        <v>4.9532847176365635</v>
      </c>
      <c r="K63" s="24" t="str">
        <f>+IF(J63=E63,"C",IF(J63=F63,"C",IF(J63=G63,"N",IF(J63=H63,"N",IF(J63='Quantitation limits'!B53,"Q",IF(J63&gt;1000000,1000000,IF(J63=1000000,"O","?")))))))</f>
        <v>C</v>
      </c>
      <c r="L63" s="9"/>
      <c r="M63" s="9"/>
      <c r="N63" s="9"/>
      <c r="O63" s="9"/>
    </row>
    <row r="64" spans="1:15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28"/>
      <c r="L64" s="9"/>
      <c r="M64" s="9"/>
      <c r="N64" s="9"/>
      <c r="O64" s="9"/>
    </row>
    <row r="65" spans="1:15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28"/>
      <c r="L65" s="9"/>
      <c r="M65" s="9"/>
      <c r="N65" s="9"/>
      <c r="O65" s="9"/>
    </row>
    <row r="66" spans="1:15" ht="12.75">
      <c r="A66" s="19" t="str">
        <f>'SF&amp;RfD'!A66</f>
        <v>INORGANIC COMPOUNDS</v>
      </c>
      <c r="B66" s="13"/>
      <c r="C66" s="13"/>
      <c r="D66" s="13"/>
      <c r="E66" s="13"/>
      <c r="F66" s="13"/>
      <c r="G66" s="13"/>
      <c r="H66" s="13"/>
      <c r="I66" s="13"/>
      <c r="J66" s="13"/>
      <c r="K66" s="28"/>
      <c r="L66" s="9"/>
      <c r="M66" s="9"/>
      <c r="N66" s="9"/>
      <c r="O66" s="9"/>
    </row>
    <row r="67" spans="1:15" ht="12.75">
      <c r="A67" s="19" t="str">
        <f>'SF&amp;RfD'!A67</f>
        <v>Antimony</v>
      </c>
      <c r="B67" s="20" t="s">
        <v>83</v>
      </c>
      <c r="C67" s="20" t="s">
        <v>83</v>
      </c>
      <c r="D67" s="17"/>
      <c r="E67" s="20"/>
      <c r="F67" s="20" t="e">
        <f>(TR*ATc*365)/(EFni*('SF&amp;RfD'!C67*0.000001*IRSadj+'SF&amp;RfD'!C67*0.000001*'SF&amp;RfD'!K67*IRDadj))</f>
        <v>#VALUE!</v>
      </c>
      <c r="G67" s="20"/>
      <c r="H67" s="20">
        <f>(THQ*BWc*ATnc*365)/(EFni*EDc*((IRSc/'SF&amp;RfD'!G67)*0.000001+(SAc/'SF&amp;RfD'!G67)*AFc*'SF&amp;RfD'!K67*0.000001))</f>
        <v>30.433574207893273</v>
      </c>
      <c r="I67" s="18" t="e">
        <f>+MIN(E67:H67)</f>
        <v>#VALUE!</v>
      </c>
      <c r="J67" s="18" t="e">
        <f>+IF(MAX(Soilni!I67,'Quantitation limits'!B57)&gt;1000000,1000000,MAX(Soilni!I67,'Quantitation limits'!B57))</f>
        <v>#VALUE!</v>
      </c>
      <c r="K67" s="24" t="e">
        <f>+IF(J67=E67,"C",IF(J67=F67,"C",IF(J67=G67,"N",IF(J67=H67,"N",IF(J67='Quantitation limits'!B57,"Q",IF(J67&gt;1000000,1000000,IF(J67=1000000,"O","?")))))))</f>
        <v>#VALUE!</v>
      </c>
      <c r="L67" s="9"/>
      <c r="M67" s="9"/>
      <c r="N67" s="9"/>
      <c r="O67" s="9"/>
    </row>
    <row r="68" spans="1:15" ht="12.75">
      <c r="A68" s="19" t="str">
        <f>'SF&amp;RfD'!A68</f>
        <v>Antimony</v>
      </c>
      <c r="B68" s="20" t="s">
        <v>83</v>
      </c>
      <c r="C68" s="20" t="s">
        <v>83</v>
      </c>
      <c r="D68" s="17"/>
      <c r="E68" s="20"/>
      <c r="F68" s="20" t="e">
        <f>(TR*ATc*365)/(EFni*('SF&amp;RfD'!C68*0.000001*IRSadj+'SF&amp;RfD'!C68*0.000001*'SF&amp;RfD'!K68*IRDadj))</f>
        <v>#VALUE!</v>
      </c>
      <c r="G68" s="20"/>
      <c r="H68" s="20">
        <f>(THQ*BWc*ATnc*365)/(EFni*EDc*((IRSc/'SF&amp;RfD'!G68)*0.000001+(SAc/'SF&amp;RfD'!G68)*AFc*'SF&amp;RfD'!K68*0.000001))</f>
        <v>30.433574207893273</v>
      </c>
      <c r="I68" s="18" t="e">
        <f>+MIN(E68:H68)</f>
        <v>#VALUE!</v>
      </c>
      <c r="J68" s="18" t="e">
        <f>+IF(MAX(Soilni!I68,'Quantitation limits'!B58)&gt;1000000,1000000,MAX(Soilni!I68,'Quantitation limits'!B58))</f>
        <v>#VALUE!</v>
      </c>
      <c r="K68" s="24" t="e">
        <f>+IF(J68=E68,"C",IF(J68=F68,"C",IF(J68=G68,"N",IF(J68=H68,"N",IF(J68='Quantitation limits'!B58,"Q",IF(J68&gt;1000000,1000000,IF(J68=1000000,"O","?")))))))</f>
        <v>#VALUE!</v>
      </c>
      <c r="L68" s="9"/>
      <c r="M68" s="9"/>
      <c r="N68" s="9"/>
      <c r="O68" s="9"/>
    </row>
    <row r="69" spans="1:15" ht="12.75">
      <c r="A69" s="19" t="str">
        <f>'SF&amp;RfD'!A69</f>
        <v>Antimony</v>
      </c>
      <c r="B69" s="20" t="s">
        <v>83</v>
      </c>
      <c r="C69" s="20" t="s">
        <v>83</v>
      </c>
      <c r="D69" s="17"/>
      <c r="E69" s="20"/>
      <c r="F69" s="20" t="e">
        <f>(TR*ATc*365)/(EFni*('SF&amp;RfD'!C69*0.000001*IRSadj+'SF&amp;RfD'!C69*0.000001*'SF&amp;RfD'!K69*IRDadj))</f>
        <v>#VALUE!</v>
      </c>
      <c r="G69" s="20"/>
      <c r="H69" s="20">
        <f>(THQ*BWc*ATnc*365)/(EFni*EDc*((IRSc/'SF&amp;RfD'!G69)*0.000001+(SAc/'SF&amp;RfD'!G69)*AFc*'SF&amp;RfD'!K69*0.000001))</f>
        <v>30.433574207893273</v>
      </c>
      <c r="I69" s="18" t="e">
        <f>+MIN(E69:H69)</f>
        <v>#VALUE!</v>
      </c>
      <c r="J69" s="18" t="e">
        <f>+IF(MAX(Soilni!I69,'Quantitation limits'!B59)&gt;1000000,1000000,MAX(Soilni!I69,'Quantitation limits'!B59))</f>
        <v>#VALUE!</v>
      </c>
      <c r="K69" s="24" t="e">
        <f>+IF(J69=E69,"C",IF(J69=F69,"C",IF(J69=G69,"N",IF(J69=H69,"N",IF(J69='Quantitation limits'!B59,"Q",IF(J69&gt;1000000,1000000,IF(J69=1000000,"O","?")))))))</f>
        <v>#VALUE!</v>
      </c>
      <c r="L69" s="9"/>
      <c r="M69" s="9"/>
      <c r="N69" s="9"/>
      <c r="O69" s="9"/>
    </row>
    <row r="70" spans="1:15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9"/>
      <c r="N70" s="9"/>
      <c r="O70" s="9"/>
    </row>
    <row r="71" spans="1:15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9"/>
      <c r="N71" s="9"/>
      <c r="O71" s="9"/>
    </row>
    <row r="72" spans="1:15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9"/>
      <c r="N72" s="9"/>
      <c r="O72" s="9"/>
    </row>
    <row r="73" spans="1:15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9"/>
      <c r="N73" s="9"/>
      <c r="O73" s="9"/>
    </row>
    <row r="74" spans="1:15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9"/>
      <c r="N74" s="9"/>
      <c r="O74" s="9"/>
    </row>
    <row r="75" spans="1:15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9"/>
      <c r="N75" s="9"/>
      <c r="O75" s="9"/>
    </row>
    <row r="76" spans="1:15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9"/>
      <c r="N76" s="9"/>
      <c r="O76" s="9"/>
    </row>
    <row r="77" spans="1:15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9"/>
      <c r="N77" s="9"/>
      <c r="O77" s="9"/>
    </row>
    <row r="78" spans="1:15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9"/>
      <c r="N78" s="9"/>
      <c r="O78" s="9"/>
    </row>
    <row r="79" spans="1:15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9"/>
      <c r="N79" s="9"/>
      <c r="O79" s="9"/>
    </row>
    <row r="80" spans="1:15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9"/>
      <c r="N80" s="9"/>
      <c r="O80" s="9"/>
    </row>
    <row r="81" spans="1:15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9"/>
      <c r="N81" s="9"/>
      <c r="O81" s="9"/>
    </row>
    <row r="82" spans="1:15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  <c r="O82" s="9"/>
    </row>
    <row r="83" spans="1:15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9"/>
      <c r="N83" s="9"/>
      <c r="O83" s="9"/>
    </row>
    <row r="84" spans="1:15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9"/>
      <c r="N84" s="9"/>
      <c r="O84" s="9"/>
    </row>
    <row r="85" spans="1:15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9"/>
      <c r="N85" s="9"/>
      <c r="O85" s="9"/>
    </row>
    <row r="86" spans="1:15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9"/>
      <c r="N86" s="9"/>
      <c r="O86" s="9"/>
    </row>
    <row r="87" spans="1:15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9"/>
      <c r="N87" s="9"/>
      <c r="O87" s="9"/>
    </row>
    <row r="88" spans="1:15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9"/>
      <c r="N88" s="9"/>
      <c r="O88" s="9"/>
    </row>
    <row r="89" spans="1:15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9"/>
      <c r="N89" s="9"/>
      <c r="O89" s="9"/>
    </row>
    <row r="90" spans="1:15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9"/>
      <c r="N90" s="9"/>
      <c r="O90" s="9"/>
    </row>
    <row r="91" spans="1:15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9"/>
      <c r="N91" s="9"/>
      <c r="O91" s="9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8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8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8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8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8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8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8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8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7"/>
      <c r="L107" s="7"/>
      <c r="M107" s="7"/>
    </row>
    <row r="108" spans="1:1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7"/>
      <c r="L108" s="7"/>
      <c r="M108" s="7"/>
    </row>
    <row r="109" spans="1:1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7"/>
      <c r="L109" s="7"/>
      <c r="M109" s="7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7"/>
      <c r="L112" s="7"/>
      <c r="M112" s="7"/>
    </row>
    <row r="113" spans="1:1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7"/>
      <c r="L113" s="7"/>
      <c r="M113" s="7"/>
    </row>
    <row r="114" spans="1:1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87"/>
      <c r="L114" s="7"/>
      <c r="M114" s="7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87"/>
      <c r="L115" s="7"/>
      <c r="M115" s="7"/>
    </row>
    <row r="116" spans="1:1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87"/>
      <c r="L116" s="7"/>
      <c r="M116" s="7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8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8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8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8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8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8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8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8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8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8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8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8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8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8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8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8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8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8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8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8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8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8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8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8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8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8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8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8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8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8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8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8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8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8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8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8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8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8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8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8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8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8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8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8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87"/>
      <c r="L161" s="7"/>
      <c r="M161" s="7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8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8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8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8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8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87"/>
      <c r="L167" s="7"/>
      <c r="M167" s="7"/>
    </row>
    <row r="168" spans="1:1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87"/>
      <c r="L168" s="7"/>
      <c r="M168" s="7"/>
    </row>
    <row r="169" spans="1:1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87"/>
      <c r="L169" s="7"/>
      <c r="M169" s="7"/>
    </row>
    <row r="170" spans="1:1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87"/>
      <c r="L170" s="7"/>
      <c r="M170" s="7"/>
    </row>
    <row r="171" spans="1:1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87"/>
      <c r="L171" s="7"/>
      <c r="M171" s="7"/>
    </row>
    <row r="172" spans="1:1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87"/>
      <c r="L172" s="7"/>
      <c r="M172" s="7"/>
    </row>
    <row r="173" spans="1:1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87"/>
      <c r="L173" s="7"/>
      <c r="M173" s="7"/>
    </row>
    <row r="174" spans="1:1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87"/>
      <c r="L174" s="7"/>
      <c r="M174" s="7"/>
    </row>
    <row r="175" spans="1:1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87"/>
      <c r="L175" s="7"/>
      <c r="M175" s="7"/>
    </row>
    <row r="176" spans="1:1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8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8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8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8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8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8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8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8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8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8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8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87"/>
      <c r="L187" s="7"/>
      <c r="M187" s="7"/>
    </row>
    <row r="188" spans="1:1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87"/>
      <c r="L188" s="7"/>
      <c r="M188" s="7"/>
    </row>
    <row r="189" spans="1:1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87"/>
      <c r="L189" s="7"/>
      <c r="M189" s="7"/>
    </row>
    <row r="190" spans="1:1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87"/>
      <c r="L190" s="7"/>
      <c r="M190" s="7"/>
    </row>
    <row r="191" spans="1:1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87"/>
      <c r="L191" s="7"/>
      <c r="M191" s="7"/>
    </row>
    <row r="192" spans="1:1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87"/>
      <c r="L192" s="7"/>
      <c r="M192" s="7"/>
    </row>
    <row r="193" spans="1:1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87"/>
      <c r="L193" s="7"/>
      <c r="M193" s="7"/>
    </row>
    <row r="194" spans="1:1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87"/>
      <c r="L194" s="7"/>
      <c r="M194" s="7"/>
    </row>
    <row r="195" spans="1:1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87"/>
      <c r="L195" s="7"/>
      <c r="M195" s="7"/>
    </row>
    <row r="196" spans="1:1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87"/>
      <c r="L196" s="7"/>
      <c r="M196" s="7"/>
    </row>
    <row r="197" spans="1:1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87"/>
      <c r="L197" s="7"/>
      <c r="M197" s="7"/>
    </row>
    <row r="198" spans="1:1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87"/>
      <c r="L198" s="7"/>
      <c r="M198" s="7"/>
    </row>
    <row r="199" spans="1:1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87"/>
      <c r="L199" s="7"/>
      <c r="M199" s="7"/>
    </row>
    <row r="200" spans="1:1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87"/>
      <c r="L200" s="7"/>
      <c r="M200" s="7"/>
    </row>
    <row r="201" spans="1:1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87"/>
      <c r="L201" s="7"/>
      <c r="M201" s="7"/>
    </row>
    <row r="202" spans="1:1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87"/>
      <c r="L202" s="7"/>
      <c r="M202" s="7"/>
    </row>
    <row r="203" spans="1:1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87"/>
      <c r="L203" s="7"/>
      <c r="M203" s="7"/>
    </row>
    <row r="204" spans="1:1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87"/>
      <c r="L204" s="7"/>
      <c r="M204" s="7"/>
    </row>
    <row r="205" spans="1:1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87"/>
      <c r="L205" s="7"/>
      <c r="M205" s="7"/>
    </row>
    <row r="206" spans="1:1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87"/>
      <c r="L206" s="7"/>
      <c r="M206" s="7"/>
    </row>
    <row r="207" spans="1:1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87"/>
      <c r="L207" s="7"/>
      <c r="M207" s="7"/>
    </row>
    <row r="208" spans="1:1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87"/>
      <c r="L208" s="7"/>
      <c r="M208" s="7"/>
    </row>
    <row r="209" spans="1:1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87"/>
      <c r="L209" s="7"/>
      <c r="M209" s="7"/>
    </row>
    <row r="210" spans="1:1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87"/>
      <c r="L210" s="7"/>
      <c r="M210" s="7"/>
    </row>
    <row r="211" spans="1:1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87"/>
      <c r="L211" s="7"/>
      <c r="M211" s="7"/>
    </row>
    <row r="212" spans="1:1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87"/>
      <c r="L212" s="7"/>
      <c r="M212" s="7"/>
    </row>
    <row r="213" spans="1:1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87"/>
      <c r="L213" s="7"/>
      <c r="M213" s="7"/>
    </row>
    <row r="214" spans="1:1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87"/>
      <c r="L214" s="7"/>
      <c r="M214" s="7"/>
    </row>
    <row r="215" spans="1:1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87"/>
      <c r="L215" s="7"/>
      <c r="M215" s="7"/>
    </row>
    <row r="216" spans="1:1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87"/>
      <c r="L216" s="7"/>
      <c r="M216" s="7"/>
    </row>
    <row r="217" spans="1:1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87"/>
      <c r="L217" s="7"/>
      <c r="M217" s="7"/>
    </row>
    <row r="218" spans="1:1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87"/>
      <c r="L218" s="7"/>
      <c r="M218" s="7"/>
    </row>
    <row r="219" spans="1:1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87"/>
      <c r="L219" s="7"/>
      <c r="M219" s="7"/>
    </row>
    <row r="220" spans="1:1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87"/>
      <c r="L220" s="7"/>
      <c r="M220" s="7"/>
    </row>
    <row r="221" spans="1:1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87"/>
      <c r="L221" s="7"/>
      <c r="M221" s="7"/>
    </row>
    <row r="222" spans="1:1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87"/>
      <c r="L222" s="7"/>
      <c r="M222" s="7"/>
    </row>
    <row r="223" spans="1:1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87"/>
      <c r="L223" s="7"/>
      <c r="M223" s="7"/>
    </row>
    <row r="224" spans="1:1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87"/>
      <c r="L224" s="7"/>
      <c r="M224" s="7"/>
    </row>
    <row r="225" spans="1:1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87"/>
      <c r="L225" s="7"/>
      <c r="M225" s="7"/>
    </row>
    <row r="226" spans="1:1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87"/>
      <c r="L226" s="7"/>
      <c r="M226" s="7"/>
    </row>
    <row r="227" spans="1:1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87"/>
      <c r="L227" s="7"/>
      <c r="M227" s="7"/>
    </row>
    <row r="228" spans="1:1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87"/>
      <c r="L228" s="7"/>
      <c r="M228" s="7"/>
    </row>
    <row r="229" spans="1:1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87"/>
      <c r="L229" s="7"/>
      <c r="M229" s="7"/>
    </row>
    <row r="230" spans="1:1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87"/>
      <c r="L230" s="7"/>
      <c r="M230" s="7"/>
    </row>
    <row r="231" spans="1:1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87"/>
      <c r="L231" s="7"/>
      <c r="M231" s="7"/>
    </row>
    <row r="232" spans="1:1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87"/>
      <c r="L232" s="7"/>
      <c r="M232" s="7"/>
    </row>
    <row r="233" spans="1:1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87"/>
      <c r="L233" s="7"/>
      <c r="M233" s="7"/>
    </row>
    <row r="234" spans="1:1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87"/>
      <c r="L234" s="7"/>
      <c r="M234" s="7"/>
    </row>
    <row r="235" spans="1:1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87"/>
      <c r="L235" s="7"/>
      <c r="M235" s="7"/>
    </row>
    <row r="236" spans="1:1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87"/>
      <c r="L236" s="7"/>
      <c r="M236" s="7"/>
    </row>
    <row r="237" spans="1:1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87"/>
      <c r="L237" s="7"/>
      <c r="M237" s="7"/>
    </row>
    <row r="238" spans="1:1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87"/>
      <c r="L238" s="7"/>
      <c r="M238" s="7"/>
    </row>
    <row r="239" spans="1:1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87"/>
      <c r="L239" s="7"/>
      <c r="M239" s="7"/>
    </row>
    <row r="240" spans="1:1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87"/>
      <c r="L240" s="7"/>
      <c r="M240" s="7"/>
    </row>
    <row r="241" spans="1:1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87"/>
      <c r="L241" s="7"/>
      <c r="M241" s="7"/>
    </row>
    <row r="242" spans="1:1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87"/>
      <c r="L242" s="7"/>
      <c r="M242" s="7"/>
    </row>
    <row r="243" spans="1:1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87"/>
      <c r="L243" s="7"/>
      <c r="M243" s="7"/>
    </row>
    <row r="244" spans="1:1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87"/>
      <c r="L244" s="7"/>
      <c r="M244" s="7"/>
    </row>
    <row r="245" spans="1:1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87"/>
      <c r="L245" s="7"/>
      <c r="M245" s="7"/>
    </row>
    <row r="246" spans="1:1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87"/>
      <c r="L246" s="7"/>
      <c r="M246" s="7"/>
    </row>
    <row r="247" spans="1:1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87"/>
      <c r="L247" s="7"/>
      <c r="M247" s="7"/>
    </row>
    <row r="248" spans="1:1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87"/>
      <c r="L248" s="7"/>
      <c r="M248" s="7"/>
    </row>
    <row r="249" spans="1:1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87"/>
      <c r="L249" s="7"/>
      <c r="M249" s="7"/>
    </row>
    <row r="250" spans="1:1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87"/>
      <c r="L250" s="7"/>
      <c r="M250" s="7"/>
    </row>
    <row r="251" spans="1:1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87"/>
      <c r="L251" s="7"/>
      <c r="M251" s="7"/>
    </row>
    <row r="252" spans="1:1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87"/>
      <c r="L252" s="7"/>
      <c r="M252" s="7"/>
    </row>
    <row r="253" spans="1:1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87"/>
      <c r="L253" s="7"/>
      <c r="M253" s="7"/>
    </row>
    <row r="254" spans="1:1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87"/>
      <c r="L254" s="7"/>
      <c r="M254" s="7"/>
    </row>
    <row r="255" spans="1:1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87"/>
      <c r="L255" s="7"/>
      <c r="M255" s="7"/>
    </row>
    <row r="256" spans="1:1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87"/>
      <c r="L256" s="7"/>
      <c r="M256" s="7"/>
    </row>
    <row r="257" spans="1:1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87"/>
      <c r="L257" s="7"/>
      <c r="M257" s="7"/>
    </row>
    <row r="258" spans="1:1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87"/>
      <c r="L258" s="7"/>
      <c r="M258" s="7"/>
    </row>
    <row r="259" spans="1:1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87"/>
      <c r="L259" s="7"/>
      <c r="M259" s="7"/>
    </row>
    <row r="260" spans="1:1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87"/>
      <c r="L260" s="7"/>
      <c r="M260" s="7"/>
    </row>
    <row r="261" spans="1:1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87"/>
      <c r="L261" s="7"/>
      <c r="M261" s="7"/>
    </row>
    <row r="262" spans="1:1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87"/>
      <c r="L262" s="7"/>
      <c r="M262" s="7"/>
    </row>
    <row r="263" spans="1:1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87"/>
      <c r="L263" s="7"/>
      <c r="M263" s="7"/>
    </row>
    <row r="264" spans="1:1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87"/>
      <c r="L264" s="7"/>
      <c r="M264" s="7"/>
    </row>
    <row r="265" spans="1:1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87"/>
      <c r="L265" s="7"/>
      <c r="M265" s="7"/>
    </row>
    <row r="266" spans="1:1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87"/>
      <c r="L266" s="7"/>
      <c r="M266" s="7"/>
    </row>
    <row r="267" spans="1:1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87"/>
      <c r="L267" s="7"/>
      <c r="M267" s="7"/>
    </row>
    <row r="268" spans="1:1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87"/>
      <c r="L268" s="7"/>
      <c r="M268" s="7"/>
    </row>
    <row r="269" spans="1:1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87"/>
      <c r="L269" s="7"/>
      <c r="M269" s="7"/>
    </row>
    <row r="270" spans="1:1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87"/>
      <c r="L270" s="7"/>
      <c r="M270" s="7"/>
    </row>
    <row r="271" spans="1:1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87"/>
      <c r="L271" s="7"/>
      <c r="M271" s="7"/>
    </row>
    <row r="272" spans="1:1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87"/>
      <c r="L272" s="7"/>
      <c r="M272" s="7"/>
    </row>
    <row r="273" spans="1:1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87"/>
      <c r="L273" s="7"/>
      <c r="M273" s="7"/>
    </row>
    <row r="274" spans="1:1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87"/>
      <c r="L274" s="7"/>
      <c r="M274" s="7"/>
    </row>
    <row r="275" spans="1:1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87"/>
      <c r="L275" s="7"/>
      <c r="M275" s="7"/>
    </row>
    <row r="276" spans="1:1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87"/>
      <c r="L276" s="7"/>
      <c r="M276" s="7"/>
    </row>
    <row r="277" spans="1:1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87"/>
      <c r="L277" s="7"/>
      <c r="M277" s="7"/>
    </row>
    <row r="278" spans="1:1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87"/>
      <c r="L278" s="7"/>
      <c r="M278" s="7"/>
    </row>
    <row r="279" spans="1:13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87"/>
      <c r="L279" s="7"/>
      <c r="M279" s="7"/>
    </row>
    <row r="280" spans="1:13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87"/>
      <c r="L280" s="7"/>
      <c r="M280" s="7"/>
    </row>
    <row r="281" spans="1:13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87"/>
      <c r="L281" s="7"/>
      <c r="M281" s="7"/>
    </row>
    <row r="282" spans="1:13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87"/>
      <c r="L282" s="7"/>
      <c r="M282" s="7"/>
    </row>
    <row r="283" spans="1:13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87"/>
      <c r="L283" s="7"/>
      <c r="M283" s="7"/>
    </row>
    <row r="284" spans="1:13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87"/>
      <c r="L284" s="7"/>
      <c r="M284" s="7"/>
    </row>
    <row r="285" spans="1:13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87"/>
      <c r="L285" s="7"/>
      <c r="M285" s="7"/>
    </row>
    <row r="286" spans="1:13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87"/>
      <c r="L286" s="7"/>
      <c r="M286" s="7"/>
    </row>
    <row r="287" spans="1:13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87"/>
      <c r="L287" s="7"/>
      <c r="M287" s="7"/>
    </row>
    <row r="288" spans="1:13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87"/>
      <c r="L288" s="7"/>
      <c r="M288" s="7"/>
    </row>
    <row r="289" spans="1:13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87"/>
      <c r="L289" s="7"/>
      <c r="M289" s="7"/>
    </row>
    <row r="290" spans="1:13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87"/>
      <c r="L290" s="7"/>
      <c r="M290" s="7"/>
    </row>
    <row r="291" spans="1:13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87"/>
      <c r="L291" s="7"/>
      <c r="M291" s="7"/>
    </row>
    <row r="292" spans="1:13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87"/>
      <c r="L292" s="7"/>
      <c r="M292" s="7"/>
    </row>
    <row r="293" spans="1:13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87"/>
      <c r="L293" s="7"/>
      <c r="M293" s="7"/>
    </row>
    <row r="294" spans="1:13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87"/>
      <c r="L294" s="7"/>
      <c r="M294" s="7"/>
    </row>
    <row r="295" spans="1:13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87"/>
      <c r="L295" s="7"/>
      <c r="M295" s="7"/>
    </row>
    <row r="296" spans="1:13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87"/>
      <c r="L296" s="7"/>
      <c r="M296" s="7"/>
    </row>
    <row r="297" spans="1:13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87"/>
      <c r="L297" s="7"/>
      <c r="M297" s="7"/>
    </row>
    <row r="298" spans="1:13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87"/>
      <c r="L298" s="7"/>
      <c r="M298" s="7"/>
    </row>
    <row r="299" spans="1:13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87"/>
      <c r="L299" s="7"/>
      <c r="M299" s="7"/>
    </row>
    <row r="300" spans="1:13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87"/>
      <c r="L300" s="7"/>
      <c r="M300" s="7"/>
    </row>
    <row r="301" spans="1:13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87"/>
      <c r="L301" s="7"/>
      <c r="M301" s="7"/>
    </row>
    <row r="302" spans="1:13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87"/>
      <c r="L302" s="7"/>
      <c r="M302" s="7"/>
    </row>
    <row r="303" spans="1:13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87"/>
      <c r="L303" s="7"/>
      <c r="M303" s="7"/>
    </row>
    <row r="304" spans="1:13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87"/>
      <c r="L304" s="7"/>
      <c r="M304" s="7"/>
    </row>
    <row r="305" spans="1:13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87"/>
      <c r="L305" s="7"/>
      <c r="M305" s="7"/>
    </row>
    <row r="306" spans="1:13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87"/>
      <c r="L306" s="7"/>
      <c r="M306" s="7"/>
    </row>
    <row r="307" spans="1:13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87"/>
      <c r="L307" s="7"/>
      <c r="M307" s="7"/>
    </row>
    <row r="308" spans="1:1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87"/>
      <c r="L308" s="7"/>
      <c r="M308" s="7"/>
    </row>
    <row r="309" spans="1:13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87"/>
      <c r="L309" s="7"/>
      <c r="M309" s="7"/>
    </row>
    <row r="310" spans="1:13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87"/>
      <c r="L310" s="7"/>
      <c r="M310" s="7"/>
    </row>
    <row r="311" spans="1:13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87"/>
      <c r="L311" s="7"/>
      <c r="M311" s="7"/>
    </row>
    <row r="312" spans="1:13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87"/>
      <c r="L312" s="7"/>
      <c r="M312" s="7"/>
    </row>
    <row r="313" spans="1:13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87"/>
      <c r="L313" s="7"/>
      <c r="M313" s="7"/>
    </row>
    <row r="314" spans="1:13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87"/>
      <c r="L314" s="7"/>
      <c r="M314" s="7"/>
    </row>
    <row r="315" spans="1:13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87"/>
      <c r="L315" s="7"/>
      <c r="M315" s="7"/>
    </row>
    <row r="316" spans="1:13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87"/>
      <c r="L316" s="7"/>
      <c r="M316" s="7"/>
    </row>
    <row r="317" spans="1:13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87"/>
      <c r="L317" s="7"/>
      <c r="M317" s="7"/>
    </row>
    <row r="318" spans="1:13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87"/>
      <c r="L318" s="7"/>
      <c r="M318" s="7"/>
    </row>
  </sheetData>
  <sheetProtection password="C596" sheet="1" objects="1" scenarios="1"/>
  <printOptions horizontalCentered="1"/>
  <pageMargins left="0.63" right="0.63" top="1.5" bottom="0.75" header="0.5" footer="0.5"/>
  <pageSetup horizontalDpi="300" verticalDpi="300" orientation="landscape" r:id="rId3"/>
  <headerFooter alignWithMargins="0">
    <oddHeader>&amp;CLDEQ RECAP
WORKSHEET I4
SOILni
(mg/kg)</oddHeader>
    <oddFooter>&amp;CWI4 - &amp;P</oddFooter>
  </headerFooter>
  <rowBreaks count="1" manualBreakCount="1">
    <brk id="156" max="6553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57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140625" defaultRowHeight="12.75"/>
  <cols>
    <col min="1" max="1" width="27.421875" style="37" customWidth="1"/>
    <col min="2" max="2" width="9.00390625" style="37" bestFit="1" customWidth="1"/>
    <col min="3" max="3" width="10.140625" style="37" customWidth="1"/>
    <col min="4" max="4" width="11.57421875" style="37" bestFit="1" customWidth="1"/>
    <col min="5" max="5" width="10.7109375" style="37" bestFit="1" customWidth="1"/>
    <col min="6" max="6" width="11.57421875" style="37" bestFit="1" customWidth="1"/>
    <col min="7" max="7" width="10.7109375" style="37" bestFit="1" customWidth="1"/>
    <col min="8" max="8" width="9.7109375" style="37" customWidth="1"/>
    <col min="9" max="9" width="8.00390625" style="37" customWidth="1"/>
    <col min="10" max="10" width="3.421875" style="81" customWidth="1"/>
    <col min="11" max="16384" width="7.8515625" style="37" customWidth="1"/>
  </cols>
  <sheetData>
    <row r="1" spans="1:14" ht="12.75">
      <c r="A1" s="232" t="str">
        <f>Soilni!$A$1</f>
        <v>Appendix I</v>
      </c>
      <c r="B1" s="123"/>
      <c r="C1" s="194" t="s">
        <v>214</v>
      </c>
      <c r="D1" s="123"/>
      <c r="E1" s="123"/>
      <c r="F1" s="123"/>
      <c r="G1" s="123"/>
      <c r="H1" s="123"/>
      <c r="I1" s="123"/>
      <c r="J1" s="187"/>
      <c r="K1" s="7"/>
      <c r="L1" s="7"/>
      <c r="M1" s="7"/>
      <c r="N1" s="7"/>
    </row>
    <row r="2" spans="1:14" ht="12.75">
      <c r="A2" s="195" t="str">
        <f>Soilni!$A$2</f>
        <v>Revision Date: 08/04/2003</v>
      </c>
      <c r="B2" s="218" t="str">
        <f>Soilni!$B$2</f>
        <v>Run date:</v>
      </c>
      <c r="C2" s="219">
        <f>Soilni!$C$2</f>
        <v>37932</v>
      </c>
      <c r="D2" s="123"/>
      <c r="E2" s="123"/>
      <c r="F2" s="123"/>
      <c r="G2" s="123"/>
      <c r="H2" s="123"/>
      <c r="I2" s="123"/>
      <c r="J2" s="187"/>
      <c r="K2" s="7"/>
      <c r="L2" s="7"/>
      <c r="M2" s="7"/>
      <c r="N2" s="7"/>
    </row>
    <row r="3" spans="1:14" ht="12.75">
      <c r="A3" s="123"/>
      <c r="B3" s="123"/>
      <c r="C3" s="123"/>
      <c r="D3" s="123"/>
      <c r="E3" s="123"/>
      <c r="F3" s="123"/>
      <c r="G3" s="123"/>
      <c r="H3" s="123"/>
      <c r="I3" s="123"/>
      <c r="J3" s="187"/>
      <c r="K3" s="7"/>
      <c r="L3" s="7"/>
      <c r="M3" s="7"/>
      <c r="N3" s="7"/>
    </row>
    <row r="4" spans="1:14" ht="12.75">
      <c r="A4" s="232" t="s">
        <v>198</v>
      </c>
      <c r="B4" s="123"/>
      <c r="C4" s="123"/>
      <c r="D4" s="123"/>
      <c r="E4" s="123"/>
      <c r="F4" s="123"/>
      <c r="G4" s="123"/>
      <c r="H4" s="123"/>
      <c r="I4" s="123"/>
      <c r="J4" s="187"/>
      <c r="K4" s="7"/>
      <c r="L4" s="7"/>
      <c r="M4" s="7"/>
      <c r="N4" s="7"/>
    </row>
    <row r="5" spans="1:14" ht="12.75">
      <c r="A5" s="232" t="s">
        <v>215</v>
      </c>
      <c r="B5" s="123"/>
      <c r="C5" s="123"/>
      <c r="D5" s="123"/>
      <c r="E5" s="123"/>
      <c r="F5" s="123"/>
      <c r="G5" s="123"/>
      <c r="H5" s="123"/>
      <c r="I5" s="123"/>
      <c r="J5" s="187"/>
      <c r="K5" s="7"/>
      <c r="L5" s="7"/>
      <c r="M5" s="7"/>
      <c r="N5" s="7"/>
    </row>
    <row r="6" spans="1:14" ht="12.75">
      <c r="A6" s="123"/>
      <c r="B6" s="123"/>
      <c r="C6" s="123"/>
      <c r="D6" s="123"/>
      <c r="E6" s="123"/>
      <c r="F6" s="123"/>
      <c r="G6" s="123"/>
      <c r="H6" s="123"/>
      <c r="I6" s="123"/>
      <c r="J6" s="187"/>
      <c r="K6" s="7"/>
      <c r="L6" s="7"/>
      <c r="M6" s="7"/>
      <c r="N6" s="7"/>
    </row>
    <row r="7" spans="1:14" ht="12.75">
      <c r="A7" s="232" t="s">
        <v>374</v>
      </c>
      <c r="B7" s="123"/>
      <c r="C7" s="123"/>
      <c r="D7" s="123"/>
      <c r="E7" s="123"/>
      <c r="F7" s="123"/>
      <c r="G7" s="123"/>
      <c r="H7" s="123"/>
      <c r="I7" s="123"/>
      <c r="J7" s="187"/>
      <c r="K7" s="7"/>
      <c r="L7" s="7"/>
      <c r="M7" s="7"/>
      <c r="N7" s="7"/>
    </row>
    <row r="8" spans="1:14" ht="12.75">
      <c r="A8" s="232" t="s">
        <v>375</v>
      </c>
      <c r="B8" s="123"/>
      <c r="C8" s="123"/>
      <c r="D8" s="123"/>
      <c r="E8" s="123"/>
      <c r="F8" s="123"/>
      <c r="G8" s="123"/>
      <c r="H8" s="123"/>
      <c r="I8" s="123"/>
      <c r="J8" s="187"/>
      <c r="K8" s="7"/>
      <c r="L8" s="7"/>
      <c r="M8" s="7"/>
      <c r="N8" s="7"/>
    </row>
    <row r="9" spans="1:14" ht="12.75">
      <c r="A9" s="232" t="s">
        <v>377</v>
      </c>
      <c r="B9" s="123"/>
      <c r="C9" s="123"/>
      <c r="D9" s="123"/>
      <c r="E9" s="123"/>
      <c r="F9" s="123"/>
      <c r="G9" s="123"/>
      <c r="H9" s="123"/>
      <c r="I9" s="123"/>
      <c r="J9" s="187"/>
      <c r="K9" s="7"/>
      <c r="L9" s="7"/>
      <c r="M9" s="7"/>
      <c r="N9" s="7"/>
    </row>
    <row r="10" spans="1:14" ht="12.75">
      <c r="A10" s="232" t="s">
        <v>376</v>
      </c>
      <c r="B10" s="123"/>
      <c r="C10" s="123"/>
      <c r="D10" s="123"/>
      <c r="E10" s="123"/>
      <c r="F10" s="123"/>
      <c r="G10" s="123"/>
      <c r="H10" s="123"/>
      <c r="I10" s="123"/>
      <c r="J10" s="187"/>
      <c r="K10" s="7"/>
      <c r="L10" s="7"/>
      <c r="M10" s="7"/>
      <c r="N10" s="7"/>
    </row>
    <row r="11" spans="1:14" ht="12.75">
      <c r="A11" s="123"/>
      <c r="B11" s="123"/>
      <c r="C11" s="123"/>
      <c r="D11" s="123"/>
      <c r="E11" s="123"/>
      <c r="F11" s="123"/>
      <c r="G11" s="123"/>
      <c r="H11" s="123"/>
      <c r="I11" s="123"/>
      <c r="J11" s="187"/>
      <c r="K11" s="7"/>
      <c r="L11" s="7"/>
      <c r="M11" s="7"/>
      <c r="N11" s="7"/>
    </row>
    <row r="12" spans="1:14" ht="12.75">
      <c r="A12" s="222"/>
      <c r="B12" s="156" t="s">
        <v>351</v>
      </c>
      <c r="C12" s="157" t="s">
        <v>358</v>
      </c>
      <c r="D12" s="158" t="s">
        <v>216</v>
      </c>
      <c r="E12" s="158" t="s">
        <v>216</v>
      </c>
      <c r="F12" s="158" t="s">
        <v>216</v>
      </c>
      <c r="G12" s="158" t="s">
        <v>216</v>
      </c>
      <c r="H12" s="223" t="s">
        <v>206</v>
      </c>
      <c r="I12" s="237" t="s">
        <v>216</v>
      </c>
      <c r="J12" s="238"/>
      <c r="L12" s="7"/>
      <c r="M12" s="7"/>
      <c r="N12" s="7"/>
    </row>
    <row r="13" spans="1:14" ht="12.75">
      <c r="A13" s="244" t="str">
        <f>'SF&amp;RfD'!A1</f>
        <v>COMPOUND</v>
      </c>
      <c r="B13" s="162" t="s">
        <v>343</v>
      </c>
      <c r="C13" s="162" t="s">
        <v>342</v>
      </c>
      <c r="D13" s="240" t="s">
        <v>207</v>
      </c>
      <c r="E13" s="240" t="s">
        <v>208</v>
      </c>
      <c r="F13" s="240" t="s">
        <v>209</v>
      </c>
      <c r="G13" s="240" t="s">
        <v>210</v>
      </c>
      <c r="H13" s="211" t="s">
        <v>211</v>
      </c>
      <c r="I13" s="241" t="s">
        <v>212</v>
      </c>
      <c r="J13" s="216"/>
      <c r="L13" s="7"/>
      <c r="M13" s="7"/>
      <c r="N13" s="7"/>
    </row>
    <row r="14" spans="1:14" ht="12.75">
      <c r="A14" s="242" t="str">
        <f>'SF&amp;RfD'!A3</f>
        <v>Acenaphthene</v>
      </c>
      <c r="B14" s="212">
        <f>((na^(10/3)*'Chem&amp;Phy data'!H3*'Chem&amp;Phy data'!F3*41+nw^(10/3)*'Chem&amp;Phy data'!J3)/n^2)/(pb*'Chem&amp;Phy data'!D3*foc+nw+na*'Chem&amp;Phy data'!F3*41)</f>
        <v>7.847654069932162E-08</v>
      </c>
      <c r="C14" s="212">
        <f>(Q\C*0.0001*(3.14*B14*Ti)^0.5)/(2*pb*B14)</f>
        <v>399014.9025270987</v>
      </c>
      <c r="D14" s="212" t="s">
        <v>83</v>
      </c>
      <c r="E14" s="212"/>
      <c r="F14" s="212">
        <f>(THQ*BWa*ATni*365)/(EFi*EDi*((IRSi/'SF&amp;RfD'!G3)*0.000001+(IRAa/'SF&amp;RfD'!I3)*(1/C14)+(SAai/'SF&amp;RfD'!G3)*AFai*'SF&amp;RfD'!K3*0.000001))</f>
        <v>61244.399185988565</v>
      </c>
      <c r="G14" s="212"/>
      <c r="H14" s="181">
        <f>+MIN(D14:G14)</f>
        <v>61244.399185988565</v>
      </c>
      <c r="I14" s="181">
        <f>+IF(MAX(Soili!H14,'Quantitation limits'!B3)&gt;1000000,1000000,MAX(Soili!H14,'Quantitation limits'!B3))</f>
        <v>61244.399185988565</v>
      </c>
      <c r="J14" s="243" t="str">
        <f>+IF(I14=D14,"C",IF(I14=E14,"C",IF(I14=F14,"N",IF(I14=G14,"N",IF(I14='Quantitation limits'!B3,"Q",IF(I14=1000000,"O","?"))))))</f>
        <v>N</v>
      </c>
      <c r="L14" s="7"/>
      <c r="M14" s="7"/>
      <c r="N14" s="7"/>
    </row>
    <row r="15" spans="1:14" ht="12.75">
      <c r="A15" s="242" t="str">
        <f>'SF&amp;RfD'!A4</f>
        <v>Acenaphthylene</v>
      </c>
      <c r="B15" s="212">
        <f>((na^(10/3)*'Chem&amp;Phy data'!H4*'Chem&amp;Phy data'!F4*41+nw^(10/3)*'Chem&amp;Phy data'!J4)/n^2)/(pb*'Chem&amp;Phy data'!D4*foc+nw+na*'Chem&amp;Phy data'!F4*41)</f>
        <v>1.4995652416283858E-07</v>
      </c>
      <c r="C15" s="212">
        <f>(Q\C*0.0001*(3.14*B15*Ti)^0.5)/(2*pb*B15)</f>
        <v>288653.18831780803</v>
      </c>
      <c r="D15" s="212" t="s">
        <v>83</v>
      </c>
      <c r="E15" s="212"/>
      <c r="F15" s="212">
        <f>(THQ*BWa*ATni*365)/(EFi*EDi*((IRSi/'SF&amp;RfD'!G4)*0.000001+(IRAa/'SF&amp;RfD'!I4)*(1/C15)+(SAai/'SF&amp;RfD'!G4)*AFai*'SF&amp;RfD'!K4*0.000001))</f>
        <v>51405.304754007695</v>
      </c>
      <c r="G15" s="212"/>
      <c r="H15" s="181">
        <f>+MIN(D15:G15)</f>
        <v>51405.304754007695</v>
      </c>
      <c r="I15" s="181">
        <f>+IF(MAX(Soili!H15,'Quantitation limits'!B4)&gt;1000000,1000000,MAX(Soili!H15,'Quantitation limits'!B4))</f>
        <v>51405.304754007695</v>
      </c>
      <c r="J15" s="243" t="str">
        <f>+IF(I15=D15,"C",IF(I15=E15,"C",IF(I15=F15,"N",IF(I15=G15,"N",IF(I15='Quantitation limits'!B4,"Q",IF(I15=1000000,"O","?"))))))</f>
        <v>N</v>
      </c>
      <c r="L15" s="7"/>
      <c r="M15" s="7"/>
      <c r="N15" s="7"/>
    </row>
    <row r="16" spans="1:14" ht="12.75">
      <c r="A16" s="213" t="str">
        <f>'SF&amp;RfD'!A5</f>
        <v>Anthracene</v>
      </c>
      <c r="B16" s="154">
        <f>((na^(10/3)*'Chem&amp;Phy data'!H5*'Chem&amp;Phy data'!F5*41+nw^(10/3)*'Chem&amp;Phy data'!J5)/n^2)/(pb*'Chem&amp;Phy data'!D5*foc+nw+na*'Chem&amp;Phy data'!F5*41)</f>
        <v>6.2373700948355206E-09</v>
      </c>
      <c r="C16" s="154">
        <f aca="true" t="shared" si="0" ref="C16:C21">(Q\C*0.0001*(3.14*B16*Ti)^0.5)/(2*pb*B16)</f>
        <v>1415331.8654408248</v>
      </c>
      <c r="D16" s="154" t="s">
        <v>83</v>
      </c>
      <c r="E16" s="154"/>
      <c r="F16" s="154">
        <f>(THQ*BWa*ATni*365)/(EFi*EDi*((IRSi/'SF&amp;RfD'!G5)*0.000001+(IRAa/'SF&amp;RfD'!I5)*(1/C16)+(SAai/'SF&amp;RfD'!G5)*AFai*'SF&amp;RfD'!K5*0.000001))</f>
        <v>478084.2095103984</v>
      </c>
      <c r="G16" s="154"/>
      <c r="H16" s="183">
        <f aca="true" t="shared" si="1" ref="H16:H21">+MIN(D16:G16)</f>
        <v>478084.2095103984</v>
      </c>
      <c r="I16" s="183">
        <f>+IF(MAX(Soili!H16,'Quantitation limits'!B5)&gt;1000000,1000000,MAX(Soili!H16,'Quantitation limits'!B5))</f>
        <v>478084.2095103984</v>
      </c>
      <c r="J16" s="214" t="str">
        <f>+IF(I16=D16,"C",IF(I16=E16,"C",IF(I16=F16,"N",IF(I16=G16,"N",IF(I16='Quantitation limits'!B5,"Q",IF(I16=1000000,"O","?"))))))</f>
        <v>N</v>
      </c>
      <c r="L16" s="7"/>
      <c r="M16" s="7"/>
      <c r="N16" s="7"/>
    </row>
    <row r="17" spans="1:14" ht="12.75">
      <c r="A17" s="213" t="str">
        <f>'SF&amp;RfD'!A6</f>
        <v>Benzene</v>
      </c>
      <c r="B17" s="154">
        <f>((na^(10/3)*'Chem&amp;Phy data'!H6*'Chem&amp;Phy data'!F6*41+nw^(10/3)*'Chem&amp;Phy data'!J6)/n^2)/(pb*'Chem&amp;Phy data'!D6*foc+nw+na*'Chem&amp;Phy data'!F6*41)</f>
        <v>0.0003098818385796398</v>
      </c>
      <c r="C17" s="154">
        <f t="shared" si="0"/>
        <v>6349.813641548075</v>
      </c>
      <c r="D17" s="154">
        <f>(TR*BWa*ATc*365)/(EFi*EDi*('SF&amp;RfD'!C6*0.000001*IRSi+'SF&amp;RfD'!E6*(IRAa/C17)+'SF&amp;RfD'!C6*SAai*AFai*'SF&amp;RfD'!K6*0.000001))</f>
        <v>3.083911024552606</v>
      </c>
      <c r="E17" s="154"/>
      <c r="F17" s="154">
        <f>(THQ*BWa*ATni*365)/(EFi*EDi*((IRSi/'SF&amp;RfD'!G6)*0.000001+(IRAa/'SF&amp;RfD'!I6)*(1/C17)+(SAai/'SF&amp;RfD'!G6)*AFai*'SF&amp;RfD'!K6*0.000001))</f>
        <v>269.8392303521781</v>
      </c>
      <c r="G17" s="154"/>
      <c r="H17" s="183">
        <f t="shared" si="1"/>
        <v>3.083911024552606</v>
      </c>
      <c r="I17" s="183">
        <f>+IF(MAX(Soili!H17,'Quantitation limits'!B6)&gt;1000000,1000000,MAX(Soili!H17,'Quantitation limits'!B6))</f>
        <v>3.083911024552606</v>
      </c>
      <c r="J17" s="214" t="str">
        <f>+IF(I17=D17,"C",IF(I17=E17,"C",IF(I17=F17,"N",IF(I17=G17,"N",IF(I17='Quantitation limits'!B6,"Q",IF(I17=1000000,"O","?"))))))</f>
        <v>C</v>
      </c>
      <c r="L17" s="7"/>
      <c r="M17" s="7"/>
      <c r="N17" s="7"/>
    </row>
    <row r="18" spans="1:14" ht="12.75">
      <c r="A18" s="213" t="str">
        <f>'SF&amp;RfD'!A7</f>
        <v>Benz(a)anthracene</v>
      </c>
      <c r="B18" s="154">
        <f>((na^(10/3)*'Chem&amp;Phy data'!H7*'Chem&amp;Phy data'!F7*41+nw^(10/3)*'Chem&amp;Phy data'!J7)/n^2)/(pb*'Chem&amp;Phy data'!D7*foc+nw+na*'Chem&amp;Phy data'!F7*41)</f>
        <v>1.3144058710267498E-10</v>
      </c>
      <c r="C18" s="154">
        <f t="shared" si="0"/>
        <v>9749768.332425423</v>
      </c>
      <c r="D18" s="154">
        <f>(TR*BWa*ATc*365)/(EFi*EDi*('SF&amp;RfD'!C7*0.000001*IRSi+'SF&amp;RfD'!E7*(IRAa/C18)+'SF&amp;RfD'!C7*SAai*AFai*'SF&amp;RfD'!K7*0.000001))</f>
        <v>2.8681993669083266</v>
      </c>
      <c r="E18" s="154"/>
      <c r="F18" s="154" t="s">
        <v>83</v>
      </c>
      <c r="G18" s="154"/>
      <c r="H18" s="183">
        <f t="shared" si="1"/>
        <v>2.8681993669083266</v>
      </c>
      <c r="I18" s="183">
        <f>+IF(MAX(Soili!H18,'Quantitation limits'!B7)&gt;1000000,1000000,MAX(Soili!H18,'Quantitation limits'!B7))</f>
        <v>2.8681993669083266</v>
      </c>
      <c r="J18" s="214" t="str">
        <f>+IF(I18=D18,"C",IF(I18=E18,"C",IF(I18=F18,"N",IF(I18=G18,"N",IF(I18='Quantitation limits'!B7,"Q",IF(I18=1000000,"O","?"))))))</f>
        <v>C</v>
      </c>
      <c r="L18" s="7"/>
      <c r="M18" s="7"/>
      <c r="N18" s="7"/>
    </row>
    <row r="19" spans="1:14" ht="12.75">
      <c r="A19" s="213" t="str">
        <f>'SF&amp;RfD'!A8</f>
        <v>Benzo(a)pyrene</v>
      </c>
      <c r="B19" s="154">
        <f>((na^(10/3)*'Chem&amp;Phy data'!H8*'Chem&amp;Phy data'!F8*41+nw^(10/3)*'Chem&amp;Phy data'!J8)/n^2)/(pb*'Chem&amp;Phy data'!D8*foc+nw+na*'Chem&amp;Phy data'!F8*41)</f>
        <v>4.172100043330537E-11</v>
      </c>
      <c r="C19" s="154">
        <f t="shared" si="0"/>
        <v>17305401.69344769</v>
      </c>
      <c r="D19" s="154">
        <f>(TR*BWa*ATc*365)/(EFi*EDi*('SF&amp;RfD'!C8*0.000001*IRSi+'SF&amp;RfD'!E8*(IRAa/C19)+'SF&amp;RfD'!C8*SAai*AFai*'SF&amp;RfD'!K8*0.000001))</f>
        <v>0.2876203357720269</v>
      </c>
      <c r="E19" s="154"/>
      <c r="F19" s="154" t="s">
        <v>83</v>
      </c>
      <c r="G19" s="154"/>
      <c r="H19" s="183">
        <f t="shared" si="1"/>
        <v>0.2876203357720269</v>
      </c>
      <c r="I19" s="183">
        <f>+IF(MAX(Soili!H19,'Quantitation limits'!B8)&gt;1000000,1000000,MAX(Soili!H19,'Quantitation limits'!B8))</f>
        <v>0.33</v>
      </c>
      <c r="J19" s="214" t="str">
        <f>+IF(I19=D19,"C",IF(I19=E19,"C",IF(I19=F19,"N",IF(I19=G19,"N",IF(I19='Quantitation limits'!B8,"Q",IF(I19=1000000,"O","?"))))))</f>
        <v>Q</v>
      </c>
      <c r="L19" s="7"/>
      <c r="M19" s="7"/>
      <c r="N19" s="7"/>
    </row>
    <row r="20" spans="1:14" ht="12.75">
      <c r="A20" s="213" t="str">
        <f>'SF&amp;RfD'!A9</f>
        <v>Benzo(b)fluoranthene</v>
      </c>
      <c r="B20" s="154">
        <f>((na^(10/3)*'Chem&amp;Phy data'!H9*'Chem&amp;Phy data'!F9*41+nw^(10/3)*'Chem&amp;Phy data'!J9)/n^2)/(pb*'Chem&amp;Phy data'!D9*foc+nw+na*'Chem&amp;Phy data'!F9*41)</f>
        <v>1.295788400528181E-10</v>
      </c>
      <c r="C20" s="154">
        <f t="shared" si="0"/>
        <v>9819559.308881398</v>
      </c>
      <c r="D20" s="154">
        <f>(TR*BWa*ATc*365)/(EFi*EDi*('SF&amp;RfD'!C9*0.000001*IRSi+'SF&amp;RfD'!E9*(IRAa/C20)+'SF&amp;RfD'!C9*SAai*AFai*'SF&amp;RfD'!K9*0.000001))</f>
        <v>2.868329304283228</v>
      </c>
      <c r="E20" s="154"/>
      <c r="F20" s="154" t="s">
        <v>83</v>
      </c>
      <c r="G20" s="154"/>
      <c r="H20" s="183">
        <f t="shared" si="1"/>
        <v>2.868329304283228</v>
      </c>
      <c r="I20" s="183">
        <f>+IF(MAX(Soili!H20,'Quantitation limits'!B9)&gt;1000000,1000000,MAX(Soili!H20,'Quantitation limits'!B9))</f>
        <v>2.868329304283228</v>
      </c>
      <c r="J20" s="214" t="str">
        <f>+IF(I20=D20,"C",IF(I20=E20,"C",IF(I20=F20,"N",IF(I20=G20,"N",IF(I20='Quantitation limits'!B9,"Q",IF(I20=1000000,"O","?"))))))</f>
        <v>C</v>
      </c>
      <c r="L20" s="7"/>
      <c r="M20" s="7"/>
      <c r="N20" s="7"/>
    </row>
    <row r="21" spans="1:14" ht="12.75">
      <c r="A21" s="213" t="str">
        <f>'SF&amp;RfD'!A10</f>
        <v>Benzo(k)fluoranthene</v>
      </c>
      <c r="B21" s="154">
        <f>((na^(10/3)*'Chem&amp;Phy data'!H10*'Chem&amp;Phy data'!F10*41+nw^(10/3)*'Chem&amp;Phy data'!J10)/n^2)/(pb*'Chem&amp;Phy data'!D10*foc+nw+na*'Chem&amp;Phy data'!F10*41)</f>
        <v>1.9807806410826296E-11</v>
      </c>
      <c r="C21" s="154">
        <f t="shared" si="0"/>
        <v>25115443.41854595</v>
      </c>
      <c r="D21" s="154">
        <f>(TR*BWa*ATc*365)/(EFi*EDi*('SF&amp;RfD'!C10*0.000001*IRSi+'SF&amp;RfD'!E10*(IRAa/C21)+'SF&amp;RfD'!C10*SAai*AFai*'SF&amp;RfD'!K10*0.000001))</f>
        <v>28.794276867018635</v>
      </c>
      <c r="E21" s="154"/>
      <c r="F21" s="154" t="s">
        <v>83</v>
      </c>
      <c r="G21" s="154"/>
      <c r="H21" s="183">
        <f t="shared" si="1"/>
        <v>28.794276867018635</v>
      </c>
      <c r="I21" s="183">
        <f>+IF(MAX(Soili!H21,'Quantitation limits'!B10)&gt;1000000,1000000,MAX(Soili!H21,'Quantitation limits'!B10))</f>
        <v>28.794276867018635</v>
      </c>
      <c r="J21" s="214" t="str">
        <f>+IF(I21=D21,"C",IF(I21=E21,"C",IF(I21=F21,"N",IF(I21=G21,"N",IF(I21='Quantitation limits'!B10,"Q",IF(I21=1000000,"O","?"))))))</f>
        <v>C</v>
      </c>
      <c r="L21" s="7"/>
      <c r="M21" s="7"/>
      <c r="N21" s="7"/>
    </row>
    <row r="22" spans="1:14" ht="12.75">
      <c r="A22" s="213" t="str">
        <f>'SF&amp;RfD'!A11</f>
        <v>Chrysene</v>
      </c>
      <c r="B22" s="154">
        <f>((na^(10/3)*'Chem&amp;Phy data'!H11*'Chem&amp;Phy data'!F11*41+nw^(10/3)*'Chem&amp;Phy data'!J11)/n^2)/(pb*'Chem&amp;Phy data'!D11*foc+nw+na*'Chem&amp;Phy data'!F11*41)</f>
        <v>3.8515849676567694E-10</v>
      </c>
      <c r="C22" s="154">
        <f>(Q\C*0.0001*(3.14*B22*Ti)^0.5)/(2*pb*B22)</f>
        <v>5695597.62204835</v>
      </c>
      <c r="D22" s="154">
        <f>(TR*BWa*ATc*365)/(EFi*EDi*('SF&amp;RfD'!C11*0.000001*IRSi+'SF&amp;RfD'!E11*(IRAa/C22)+'SF&amp;RfD'!C11*SAai*AFai*'SF&amp;RfD'!K11*0.000001))</f>
        <v>285.52453646504165</v>
      </c>
      <c r="E22" s="154"/>
      <c r="F22" s="154" t="s">
        <v>83</v>
      </c>
      <c r="G22" s="154"/>
      <c r="H22" s="183">
        <f>+MIN(D22:G22)</f>
        <v>285.52453646504165</v>
      </c>
      <c r="I22" s="183">
        <f>+IF(MAX(Soili!H22,'Quantitation limits'!B11)&gt;1000000,1000000,MAX(Soili!H22,'Quantitation limits'!B11))</f>
        <v>285.52453646504165</v>
      </c>
      <c r="J22" s="214" t="str">
        <f>+IF(I22=D22,"C",IF(I22=E22,"C",IF(I22=F22,"N",IF(I22=G22,"N",IF(I22='Quantitation limits'!B11,"Q",IF(I22=1000000,"O","?"))))))</f>
        <v>C</v>
      </c>
      <c r="L22" s="7"/>
      <c r="M22" s="7"/>
      <c r="N22" s="7"/>
    </row>
    <row r="23" spans="1:14" ht="12.75">
      <c r="A23" s="213" t="str">
        <f>'SF&amp;RfD'!A12</f>
        <v>Dibenz(a,h)anthracene</v>
      </c>
      <c r="B23" s="154">
        <f>((na^(10/3)*'Chem&amp;Phy data'!H12*'Chem&amp;Phy data'!F12*41+nw^(10/3)*'Chem&amp;Phy data'!J12)/n^2)/(pb*'Chem&amp;Phy data'!D12*foc+nw+na*'Chem&amp;Phy data'!F12*41)</f>
        <v>1.216097669682463E-11</v>
      </c>
      <c r="C23" s="154">
        <f>(Q\C*0.0001*(3.14*B23*Ti)^0.5)/(2*pb*B23)</f>
        <v>32053452.41657176</v>
      </c>
      <c r="D23" s="154">
        <f>(TR*BWa*ATc*365)/(EFi*EDi*('SF&amp;RfD'!C12*0.000001*IRSi+'SF&amp;RfD'!E12*(IRAa/C23)+'SF&amp;RfD'!C12*SAai*AFai*'SF&amp;RfD'!K12*0.000001))</f>
        <v>0.2880976674068851</v>
      </c>
      <c r="E23" s="154"/>
      <c r="F23" s="154" t="s">
        <v>83</v>
      </c>
      <c r="G23" s="154"/>
      <c r="H23" s="183">
        <f>+MIN(D23:G23)</f>
        <v>0.2880976674068851</v>
      </c>
      <c r="I23" s="183">
        <f>+IF(MAX(Soili!H23,'Quantitation limits'!B12)&gt;1000000,1000000,MAX(Soili!H23,'Quantitation limits'!B12))</f>
        <v>0.33</v>
      </c>
      <c r="J23" s="214" t="str">
        <f>+IF(I23=D23,"C",IF(I23=E23,"C",IF(I23=F23,"N",IF(I23=G23,"N",IF(I23='Quantitation limits'!B12,"Q",IF(I23=1000000,"O","?"))))))</f>
        <v>Q</v>
      </c>
      <c r="L23" s="7"/>
      <c r="M23" s="7"/>
      <c r="N23" s="7"/>
    </row>
    <row r="24" spans="1:14" ht="12.75">
      <c r="A24" s="213" t="str">
        <f>'SF&amp;RfD'!A13</f>
        <v>Ethyl benzene</v>
      </c>
      <c r="B24" s="154">
        <f>((na^(10/3)*'Chem&amp;Phy data'!H13*'Chem&amp;Phy data'!F13*41+nw^(10/3)*'Chem&amp;Phy data'!J13)/n^2)/(pb*'Chem&amp;Phy data'!D13*foc+nw+na*'Chem&amp;Phy data'!F13*41)</f>
        <v>0.00013991600453429516</v>
      </c>
      <c r="C24" s="154">
        <f>(Q\C*0.0001*(3.14*B24*Ti)^0.5)/(2*pb*B24)</f>
        <v>9449.859339505068</v>
      </c>
      <c r="D24" s="154" t="s">
        <v>83</v>
      </c>
      <c r="E24" s="154"/>
      <c r="F24" s="154">
        <f>(THQ*BWa*ATni*365)/(EFi*EDi*((IRSi/'SF&amp;RfD'!G13)*0.000001+(IRAa/'SF&amp;RfD'!I13)*(1/C24)+(SAai/'SF&amp;RfD'!G13)*AFai*'SF&amp;RfD'!K13*0.000001))</f>
        <v>12936.516370964051</v>
      </c>
      <c r="G24" s="154"/>
      <c r="H24" s="183">
        <f>+MIN(D24:G24)</f>
        <v>12936.516370964051</v>
      </c>
      <c r="I24" s="183">
        <f>+IF(MAX(Soili!H24,'Quantitation limits'!B13)&gt;1000000,1000000,MAX(Soili!H24,'Quantitation limits'!B13))</f>
        <v>12936.516370964051</v>
      </c>
      <c r="J24" s="214" t="str">
        <f>+IF(I24=D24,"C",IF(I24=E24,"C",IF(I24=F24,"N",IF(I24=G24,"N",IF(I24='Quantitation limits'!B13,"Q",IF(I24=1000000,"O","?"))))))</f>
        <v>N</v>
      </c>
      <c r="L24" s="7"/>
      <c r="M24" s="7"/>
      <c r="N24" s="7"/>
    </row>
    <row r="25" spans="1:14" ht="12.75">
      <c r="A25" s="213" t="str">
        <f>'SF&amp;RfD'!A14</f>
        <v>Fluoranthene</v>
      </c>
      <c r="B25" s="154">
        <f>((na^(10/3)*'Chem&amp;Phy data'!H14*'Chem&amp;Phy data'!F14*41+nw^(10/3)*'Chem&amp;Phy data'!J14)/n^2)/(pb*'Chem&amp;Phy data'!D14*foc+nw+na*'Chem&amp;Phy data'!F14*41)</f>
        <v>1.0796336225193185E-09</v>
      </c>
      <c r="C25" s="154">
        <f>(Q\C*0.0001*(3.14*B25*Ti)^0.5)/(2*pb*B25)</f>
        <v>3401894.4991761954</v>
      </c>
      <c r="D25" s="154" t="s">
        <v>83</v>
      </c>
      <c r="E25" s="154"/>
      <c r="F25" s="154">
        <f>(THQ*BWa*ATni*365)/(EFi*EDi*((IRSi/'SF&amp;RfD'!G14)*0.000001+(IRAa/'SF&amp;RfD'!I14)*(1/C25)+(SAai/'SF&amp;RfD'!G14)*AFai*'SF&amp;RfD'!K14*0.000001))</f>
        <v>28853.942897375702</v>
      </c>
      <c r="G25" s="154"/>
      <c r="H25" s="183">
        <f>+MIN(D25:G25)</f>
        <v>28853.942897375702</v>
      </c>
      <c r="I25" s="183">
        <f>+IF(MAX(Soili!H25,'Quantitation limits'!B14)&gt;1000000,1000000,MAX(Soili!H25,'Quantitation limits'!B14))</f>
        <v>28853.942897375702</v>
      </c>
      <c r="J25" s="214" t="str">
        <f>+IF(I25=D25,"C",IF(I25=E25,"C",IF(I25=F25,"N",IF(I25=G25,"N",IF(I25='Quantitation limits'!B14,"Q",IF(I25=1000000,"O","?"))))))</f>
        <v>N</v>
      </c>
      <c r="L25" s="7"/>
      <c r="M25" s="7"/>
      <c r="N25" s="7"/>
    </row>
    <row r="26" spans="1:14" ht="12.75">
      <c r="A26" s="213" t="str">
        <f>'SF&amp;RfD'!A15</f>
        <v>Fluorene</v>
      </c>
      <c r="B26" s="154">
        <f>((na^(10/3)*'Chem&amp;Phy data'!H15*'Chem&amp;Phy data'!F15*41+nw^(10/3)*'Chem&amp;Phy data'!J15)/n^2)/(pb*'Chem&amp;Phy data'!D15*foc+nw+na*'Chem&amp;Phy data'!F15*41)</f>
        <v>2.047514702389521E-08</v>
      </c>
      <c r="C26" s="154">
        <f>(Q\C*0.0001*(3.14*B26*Ti)^0.5)/(2*pb*B26)</f>
        <v>781169.9473949138</v>
      </c>
      <c r="D26" s="154" t="s">
        <v>83</v>
      </c>
      <c r="E26" s="154"/>
      <c r="F26" s="154">
        <f>(THQ*BWa*ATni*365)/(EFi*EDi*((IRSi/'SF&amp;RfD'!G15)*0.000001+(IRAa/'SF&amp;RfD'!I15)*(1/C26)+(SAai/'SF&amp;RfD'!G15)*AFai*'SF&amp;RfD'!K15*0.000001))</f>
        <v>54072.19768829277</v>
      </c>
      <c r="G26" s="154"/>
      <c r="H26" s="183">
        <f>+MIN(D26:G26)</f>
        <v>54072.19768829277</v>
      </c>
      <c r="I26" s="183">
        <f>+IF(MAX(Soili!H26,'Quantitation limits'!B15)&gt;1000000,1000000,MAX(Soili!H26,'Quantitation limits'!B15))</f>
        <v>54072.19768829277</v>
      </c>
      <c r="J26" s="214" t="str">
        <f>+IF(I26=D26,"C",IF(I26=E26,"C",IF(I26=F26,"N",IF(I26=G26,"N",IF(I26='Quantitation limits'!B15,"Q",IF(I26=1000000,"O","?"))))))</f>
        <v>N</v>
      </c>
      <c r="L26" s="7"/>
      <c r="M26" s="7"/>
      <c r="N26" s="7"/>
    </row>
    <row r="27" spans="1:14" ht="12.75">
      <c r="A27" s="213" t="str">
        <f>'SF&amp;RfD'!A16</f>
        <v>Indeno(1,2,3-cd)pyrene</v>
      </c>
      <c r="B27" s="154">
        <f>((na^(10/3)*'Chem&amp;Phy data'!H16*'Chem&amp;Phy data'!F16*41+nw^(10/3)*'Chem&amp;Phy data'!J16)/n^2)/(pb*'Chem&amp;Phy data'!D16*foc+nw+na*'Chem&amp;Phy data'!F16*41)</f>
        <v>7.32459266601671E-12</v>
      </c>
      <c r="C27" s="154">
        <f aca="true" t="shared" si="2" ref="C27:C34">(Q\C*0.0001*(3.14*B27*Ti)^0.5)/(2*pb*B27)</f>
        <v>41301640.546255596</v>
      </c>
      <c r="D27" s="154">
        <f>(TR*BWa*ATc*365)/(EFi*EDi*('SF&amp;RfD'!C16*0.000001*IRSi+'SF&amp;RfD'!E16*(IRAa/C27)+'SF&amp;RfD'!C16*SAai*AFai*'SF&amp;RfD'!K16*0.000001))</f>
        <v>2.88223347415497</v>
      </c>
      <c r="E27" s="154"/>
      <c r="F27" s="154" t="s">
        <v>83</v>
      </c>
      <c r="G27" s="154"/>
      <c r="H27" s="183">
        <f aca="true" t="shared" si="3" ref="H27:H33">+MIN(D27:G27)</f>
        <v>2.88223347415497</v>
      </c>
      <c r="I27" s="183">
        <f>+IF(MAX(Soili!H27,'Quantitation limits'!B16)&gt;1000000,1000000,MAX(Soili!H27,'Quantitation limits'!B16))</f>
        <v>2.88223347415497</v>
      </c>
      <c r="J27" s="214" t="str">
        <f>+IF(I27=D27,"C",IF(I27=E27,"C",IF(I27=F27,"N",IF(I27=G27,"N",IF(I27='Quantitation limits'!B16,"Q",IF(I27=1000000,"O","?"))))))</f>
        <v>C</v>
      </c>
      <c r="L27" s="7"/>
      <c r="M27" s="7"/>
      <c r="N27" s="7"/>
    </row>
    <row r="28" spans="1:14" ht="12.75">
      <c r="A28" s="213" t="str">
        <f>'SF&amp;RfD'!A17</f>
        <v>Lead (inorganic)</v>
      </c>
      <c r="B28" s="154" t="s">
        <v>83</v>
      </c>
      <c r="C28" s="154" t="s">
        <v>83</v>
      </c>
      <c r="D28" s="154" t="s">
        <v>83</v>
      </c>
      <c r="E28" s="154" t="s">
        <v>83</v>
      </c>
      <c r="F28" s="154" t="s">
        <v>83</v>
      </c>
      <c r="G28" s="154" t="s">
        <v>83</v>
      </c>
      <c r="H28" s="154" t="s">
        <v>83</v>
      </c>
      <c r="I28" s="183">
        <f>+IF(MAX(Soili!H28,'Quantitation limits'!B17)&gt;1000000,1000000,MAX(Soili!H28,'Quantitation limits'!B17))</f>
        <v>0</v>
      </c>
      <c r="J28" s="214"/>
      <c r="L28" s="7"/>
      <c r="M28" s="7"/>
      <c r="N28" s="7"/>
    </row>
    <row r="29" spans="1:14" ht="12.75">
      <c r="A29" s="213" t="str">
        <f>'SF&amp;RfD'!A18</f>
        <v>Methyl ethyl ketone</v>
      </c>
      <c r="B29" s="154">
        <f>((na^(10/3)*'Chem&amp;Phy data'!H18*'Chem&amp;Phy data'!F18*41+nw^(10/3)*'Chem&amp;Phy data'!J18)/n^2)/(pb*'Chem&amp;Phy data'!D18*foc+nw+na*'Chem&amp;Phy data'!F18*41)</f>
        <v>1.3112245066474855E-05</v>
      </c>
      <c r="C29" s="154">
        <f t="shared" si="2"/>
        <v>30868.854432140517</v>
      </c>
      <c r="D29" s="154" t="s">
        <v>83</v>
      </c>
      <c r="E29" s="154"/>
      <c r="F29" s="154">
        <f>(THQ*BWa*ATni*365)/(EFi*EDi*((IRSi/'SF&amp;RfD'!G18)*0.000001+(IRAa/'SF&amp;RfD'!I18)*(1/C29)+(SAai/'SF&amp;RfD'!G18)*AFai*'SF&amp;RfD'!K18*0.000001))</f>
        <v>43512.9551949382</v>
      </c>
      <c r="G29" s="154"/>
      <c r="H29" s="183">
        <f t="shared" si="3"/>
        <v>43512.9551949382</v>
      </c>
      <c r="I29" s="183">
        <f>+IF(MAX(Soili!H29,'Quantitation limits'!B18)&gt;1000000,1000000,MAX(Soili!H29,'Quantitation limits'!B18))</f>
        <v>43512.9551949382</v>
      </c>
      <c r="J29" s="214" t="str">
        <f>+IF(I29=D29,"C",IF(I29=E29,"C",IF(I29=F29,"N",IF(I29=G29,"N",IF(I29='Quantitation limits'!B18,"Q",IF(I29=1000000,"O","?"))))))</f>
        <v>N</v>
      </c>
      <c r="L29" s="7"/>
      <c r="M29" s="7"/>
      <c r="N29" s="7"/>
    </row>
    <row r="30" spans="1:14" ht="12.75">
      <c r="A30" s="213" t="str">
        <f>'SF&amp;RfD'!A19</f>
        <v>Methyl isobutyl ketone</v>
      </c>
      <c r="B30" s="154">
        <f>((na^(10/3)*'Chem&amp;Phy data'!H19*'Chem&amp;Phy data'!F19*41+nw^(10/3)*'Chem&amp;Phy data'!J19)/n^2)/(pb*'Chem&amp;Phy data'!D19*foc+nw+na*'Chem&amp;Phy data'!F19*41)</f>
        <v>2.2408234003605145E-05</v>
      </c>
      <c r="C30" s="154">
        <f t="shared" si="2"/>
        <v>23613.22068691695</v>
      </c>
      <c r="D30" s="154" t="s">
        <v>83</v>
      </c>
      <c r="E30" s="154"/>
      <c r="F30" s="154">
        <f>(THQ*BWa*ATni*365)/(EFi*EDi*((IRSi/'SF&amp;RfD'!G19)*0.000001+(IRAa/'SF&amp;RfD'!I19)*(1/C30)+(SAai/'SF&amp;RfD'!G19)*AFai*'SF&amp;RfD'!K19*0.000001))</f>
        <v>63483.61849328775</v>
      </c>
      <c r="G30" s="154"/>
      <c r="H30" s="183">
        <f t="shared" si="3"/>
        <v>63483.61849328775</v>
      </c>
      <c r="I30" s="183">
        <f>+IF(MAX(Soili!H30,'Quantitation limits'!B19)&gt;1000000,1000000,MAX(Soili!H30,'Quantitation limits'!B19))</f>
        <v>63483.61849328775</v>
      </c>
      <c r="J30" s="214" t="str">
        <f>+IF(I30=D30,"C",IF(I30=E30,"C",IF(I30=F30,"N",IF(I30=G30,"N",IF(I30='Quantitation limits'!B19,"Q",IF(I30=1000000,"O","?"))))))</f>
        <v>N</v>
      </c>
      <c r="L30" s="7"/>
      <c r="M30" s="7"/>
      <c r="N30" s="7"/>
    </row>
    <row r="31" spans="1:14" ht="12.75">
      <c r="A31" s="213" t="str">
        <f>'SF&amp;RfD'!A20</f>
        <v>Methylnaphthalene,2-</v>
      </c>
      <c r="B31" s="154">
        <f>((na^(10/3)*'Chem&amp;Phy data'!H20*'Chem&amp;Phy data'!F20*41+nw^(10/3)*'Chem&amp;Phy data'!J20)/n^2)/(pb*'Chem&amp;Phy data'!D20*foc+nw+na*'Chem&amp;Phy data'!F20*41)</f>
        <v>8.134635960753407E-08</v>
      </c>
      <c r="C31" s="154">
        <f t="shared" si="2"/>
        <v>391913.2805360684</v>
      </c>
      <c r="D31" s="154" t="s">
        <v>83</v>
      </c>
      <c r="E31" s="154"/>
      <c r="F31" s="154">
        <f>(THQ*BWa*ATni*365)/(EFi*EDi*((IRSi/'SF&amp;RfD'!G20)*0.000001+(IRAa/'SF&amp;RfD'!I20)*(1/C31)+(SAai/'SF&amp;RfD'!G20)*AFai*'SF&amp;RfD'!K20*0.000001))</f>
        <v>1652.6738340675126</v>
      </c>
      <c r="G31" s="154"/>
      <c r="H31" s="183">
        <f>+MIN(D31:G31)</f>
        <v>1652.6738340675126</v>
      </c>
      <c r="I31" s="183">
        <f>+IF(MAX(Soili!H31,'Quantitation limits'!B20)&gt;1000000,1000000,MAX(Soili!H31,'Quantitation limits'!B20))</f>
        <v>1652.6738340675126</v>
      </c>
      <c r="J31" s="214" t="str">
        <f>+IF(I31=D31,"C",IF(I31=E31,"C",IF(I31=F31,"N",IF(I31=G31,"N",IF(I31='Quantitation limits'!B20,"Q",IF(I31=1000000,"O","?"))))))</f>
        <v>N</v>
      </c>
      <c r="L31" s="7"/>
      <c r="M31" s="7"/>
      <c r="N31" s="7"/>
    </row>
    <row r="32" spans="1:14" ht="12.75">
      <c r="A32" s="213" t="str">
        <f>'SF&amp;RfD'!A21</f>
        <v>MTBE (methyl tert-butyl ether)</v>
      </c>
      <c r="B32" s="154">
        <f>((na^(10/3)*'Chem&amp;Phy data'!H21*'Chem&amp;Phy data'!F21*41+nw^(10/3)*'Chem&amp;Phy data'!J21)/n^2)/(pb*'Chem&amp;Phy data'!D21*foc+nw+na*'Chem&amp;Phy data'!F21*41)</f>
        <v>0.0001023985503411205</v>
      </c>
      <c r="C32" s="154">
        <f t="shared" si="2"/>
        <v>11046.180546573567</v>
      </c>
      <c r="D32" s="154" t="s">
        <v>83</v>
      </c>
      <c r="E32" s="154"/>
      <c r="F32" s="154">
        <f>(THQ*BWa*ATni*365)/(EFi*EDi*((IRSi/'SF&amp;RfD'!G21)*0.000001+(IRAa/'SF&amp;RfD'!I21)*(1/C32)+(SAai/'SF&amp;RfD'!G21)*AFai*'SF&amp;RfD'!K21*0.000001))</f>
        <v>47074.23094686773</v>
      </c>
      <c r="G32" s="154"/>
      <c r="H32" s="183">
        <f t="shared" si="3"/>
        <v>47074.23094686773</v>
      </c>
      <c r="I32" s="183">
        <f>+IF(MAX(Soili!H32,'Quantitation limits'!B21)&gt;1000000,1000000,MAX(Soili!H32,'Quantitation limits'!B21))</f>
        <v>47074.23094686773</v>
      </c>
      <c r="J32" s="214" t="str">
        <f>+IF(I32=D32,"C",IF(I32=E32,"C",IF(I32=F32,"N",IF(I32=G32,"N",IF(I32='Quantitation limits'!B21,"Q",IF(I32=1000000,"O","?"))))))</f>
        <v>N</v>
      </c>
      <c r="L32" s="7"/>
      <c r="M32" s="7"/>
      <c r="N32" s="7"/>
    </row>
    <row r="33" spans="1:14" ht="12.75">
      <c r="A33" s="213" t="str">
        <f>'SF&amp;RfD'!A22</f>
        <v>Naphthalene</v>
      </c>
      <c r="B33" s="154">
        <f>((na^(10/3)*'Chem&amp;Phy data'!H22*'Chem&amp;Phy data'!F22*41+nw^(10/3)*'Chem&amp;Phy data'!J22)/n^2)/(pb*'Chem&amp;Phy data'!D22*foc+nw+na*'Chem&amp;Phy data'!F22*41)</f>
        <v>1.3022244000172316E-06</v>
      </c>
      <c r="C33" s="154">
        <f t="shared" si="2"/>
        <v>97952.63588744207</v>
      </c>
      <c r="D33" s="154" t="s">
        <v>83</v>
      </c>
      <c r="E33" s="154"/>
      <c r="F33" s="154">
        <f>(THQ*BWa*ATni*365)/(EFi*EDi*((IRSi/'SF&amp;RfD'!G22)*0.000001+(IRAa/'SF&amp;RfD'!I22)*(1/C33)+(SAai/'SF&amp;RfD'!G22)*AFai*'SF&amp;RfD'!K22*0.000001))</f>
        <v>425.97715328430996</v>
      </c>
      <c r="G33" s="154"/>
      <c r="H33" s="183">
        <f t="shared" si="3"/>
        <v>425.97715328430996</v>
      </c>
      <c r="I33" s="183">
        <f>+IF(MAX(Soili!H33,'Quantitation limits'!B22)&gt;1000000,1000000,MAX(Soili!H33,'Quantitation limits'!B22))</f>
        <v>425.97715328430996</v>
      </c>
      <c r="J33" s="214" t="str">
        <f>+IF(I33=D33,"C",IF(I33=E33,"C",IF(I33=F33,"N",IF(I33=G33,"N",IF(I33='Quantitation limits'!B22,"Q",IF(I33=1000000,"O","?"))))))</f>
        <v>N</v>
      </c>
      <c r="L33" s="7"/>
      <c r="M33" s="7"/>
      <c r="N33" s="7"/>
    </row>
    <row r="34" spans="1:14" ht="12.75">
      <c r="A34" s="213" t="str">
        <f>'SF&amp;RfD'!A23</f>
        <v>Phenanthrene</v>
      </c>
      <c r="B34" s="154">
        <f>((na^(10/3)*'Chem&amp;Phy data'!H23*'Chem&amp;Phy data'!F23*41+nw^(10/3)*'Chem&amp;Phy data'!J23)/n^2)/(pb*'Chem&amp;Phy data'!D23*foc+nw+na*'Chem&amp;Phy data'!F23*41)</f>
        <v>1.523468331448656E-08</v>
      </c>
      <c r="C34" s="154">
        <f t="shared" si="2"/>
        <v>905612.3284193284</v>
      </c>
      <c r="D34" s="154" t="s">
        <v>83</v>
      </c>
      <c r="E34" s="154"/>
      <c r="F34" s="154">
        <f>(THQ*BWa*ATni*365)/(EFi*EDi*((IRSi/'SF&amp;RfD'!G23)*0.000001+(IRAa/'SF&amp;RfD'!I23)*(1/C34)+(SAai/'SF&amp;RfD'!G23)*AFai*'SF&amp;RfD'!K23*0.000001))</f>
        <v>425334.12690660305</v>
      </c>
      <c r="G34" s="154"/>
      <c r="H34" s="183">
        <f>+MIN(D34:G34)</f>
        <v>425334.12690660305</v>
      </c>
      <c r="I34" s="183">
        <f>+IF(MAX(Soili!H34,'Quantitation limits'!B23)&gt;1000000,1000000,MAX(Soili!H34,'Quantitation limits'!B23))</f>
        <v>425334.12690660305</v>
      </c>
      <c r="J34" s="214" t="str">
        <f>+IF(I34=D34,"C",IF(I34=E34,"C",IF(I34=F34,"N",IF(I34=G34,"N",IF(I34='Quantitation limits'!B23,"Q",IF(I34=1000000,"O","?"))))))</f>
        <v>N</v>
      </c>
      <c r="L34" s="7"/>
      <c r="M34" s="7"/>
      <c r="N34" s="7"/>
    </row>
    <row r="35" spans="1:14" ht="12.75">
      <c r="A35" s="213" t="str">
        <f>'SF&amp;RfD'!A24</f>
        <v>Pyrene</v>
      </c>
      <c r="B35" s="154">
        <f>((na^(10/3)*'Chem&amp;Phy data'!H24*'Chem&amp;Phy data'!F24*41+nw^(10/3)*'Chem&amp;Phy data'!J24)/n^2)/(pb*'Chem&amp;Phy data'!D24*foc+nw+na*'Chem&amp;Phy data'!F24*41)</f>
        <v>6.854963924441469E-10</v>
      </c>
      <c r="C35" s="154">
        <f>(Q\C*0.0001*(3.14*B35*Ti)^0.5)/(2*pb*B35)</f>
        <v>4269297.850922884</v>
      </c>
      <c r="D35" s="154" t="s">
        <v>83</v>
      </c>
      <c r="E35" s="154"/>
      <c r="F35" s="154">
        <f>(THQ*BWa*ATni*365)/(EFi*EDi*((IRSi/'SF&amp;RfD'!G24)*0.000001+(IRAa/'SF&amp;RfD'!I24)*(1/C35)+(SAai/'SF&amp;RfD'!G24)*AFai*'SF&amp;RfD'!K24*0.000001))</f>
        <v>56066.9617953046</v>
      </c>
      <c r="G35" s="154"/>
      <c r="H35" s="183">
        <f>+MIN(D35:G35)</f>
        <v>56066.9617953046</v>
      </c>
      <c r="I35" s="183">
        <f>+IF(MAX(Soili!H35,'Quantitation limits'!B24)&gt;1000000,1000000,MAX(Soili!H35,'Quantitation limits'!B24))</f>
        <v>56066.9617953046</v>
      </c>
      <c r="J35" s="214" t="str">
        <f>+IF(I35=D35,"C",IF(I35=E35,"C",IF(I35=F35,"N",IF(I35=G35,"N",IF(I35='Quantitation limits'!B24,"Q",IF(I35=1000000,"O","?"))))))</f>
        <v>N</v>
      </c>
      <c r="L35" s="7"/>
      <c r="M35" s="7"/>
      <c r="N35" s="7"/>
    </row>
    <row r="36" spans="1:14" ht="12.75">
      <c r="A36" s="213" t="str">
        <f>'SF&amp;RfD'!A25</f>
        <v>Toluene</v>
      </c>
      <c r="B36" s="154">
        <f>((na^(10/3)*'Chem&amp;Phy data'!H25*'Chem&amp;Phy data'!F25*41+nw^(10/3)*'Chem&amp;Phy data'!J25)/n^2)/(pb*'Chem&amp;Phy data'!D25*foc+nw+na*'Chem&amp;Phy data'!F25*41)</f>
        <v>0.00019059449498200882</v>
      </c>
      <c r="C36" s="154">
        <f>(Q\C*0.0001*(3.14*B36*Ti)^0.5)/(2*pb*B36)</f>
        <v>8096.6220193132995</v>
      </c>
      <c r="D36" s="154" t="s">
        <v>83</v>
      </c>
      <c r="E36" s="154"/>
      <c r="F36" s="154">
        <f>(THQ*BWa*ATni*365)/(EFi*EDi*((IRSi/'SF&amp;RfD'!G25)*0.000001+(IRAa/'SF&amp;RfD'!I25)*(1/C36)+(SAai/'SF&amp;RfD'!G25)*AFai*'SF&amp;RfD'!K25*0.000001))</f>
        <v>4662.808172794523</v>
      </c>
      <c r="G36" s="154"/>
      <c r="H36" s="183">
        <f>+MIN(D36:G36)</f>
        <v>4662.808172794523</v>
      </c>
      <c r="I36" s="183">
        <f>+IF(MAX(Soili!H36,'Quantitation limits'!B25)&gt;1000000,1000000,MAX(Soili!H36,'Quantitation limits'!B25))</f>
        <v>4662.808172794523</v>
      </c>
      <c r="J36" s="214" t="str">
        <f>+IF(I36=D36,"C",IF(I36=E36,"C",IF(I36=F36,"N",IF(I36=G36,"N",IF(I36='Quantitation limits'!B25,"Q",IF(I36=1000000,"O","?"))))))</f>
        <v>N</v>
      </c>
      <c r="L36" s="7"/>
      <c r="M36" s="7"/>
      <c r="N36" s="7"/>
    </row>
    <row r="37" spans="1:14" ht="12.75">
      <c r="A37" s="213" t="str">
        <f>'SF&amp;RfD'!A26</f>
        <v>Xylene(mixed)</v>
      </c>
      <c r="B37" s="154">
        <f>((na^(10/3)*'Chem&amp;Phy data'!H26*'Chem&amp;Phy data'!F26*41+nw^(10/3)*'Chem&amp;Phy data'!J26)/n^2)/(pb*'Chem&amp;Phy data'!D26*foc+nw+na*'Chem&amp;Phy data'!F26*41)</f>
        <v>0.00018739467699813714</v>
      </c>
      <c r="C37" s="154">
        <f>(Q\C*0.0001*(3.14*B37*Ti)^0.5)/(2*pb*B37)</f>
        <v>8165.455499532233</v>
      </c>
      <c r="D37" s="154" t="s">
        <v>83</v>
      </c>
      <c r="E37" s="154"/>
      <c r="F37" s="154">
        <f>(THQ*BWa*ATni*365)/(EFi*EDi*((IRSi/'SF&amp;RfD'!G26)*0.000001+(IRAa/'SF&amp;RfD'!I26)*(1/C37)+(SAai/'SF&amp;RfD'!G26)*AFai*'SF&amp;RfD'!K26*0.000001))</f>
        <v>1206.4677329884964</v>
      </c>
      <c r="G37" s="154"/>
      <c r="H37" s="183">
        <f>+MIN(D37:G37)</f>
        <v>1206.4677329884964</v>
      </c>
      <c r="I37" s="183">
        <f>+IF(MAX(Soili!H37,'Quantitation limits'!B26)&gt;1000000,1000000,MAX(Soili!H37,'Quantitation limits'!B26))</f>
        <v>1206.4677329884964</v>
      </c>
      <c r="J37" s="214" t="str">
        <f>+IF(I37=D37,"C",IF(I37=E37,"C",IF(I37=F37,"N",IF(I37=G37,"N",IF(I37='Quantitation limits'!B26,"Q",IF(I37=1000000,"O","?"))))))</f>
        <v>N</v>
      </c>
      <c r="L37" s="7"/>
      <c r="M37" s="7"/>
      <c r="N37" s="7"/>
    </row>
    <row r="38" spans="1:14" ht="12.75">
      <c r="A38" s="213" t="str">
        <f>'SF&amp;RfD'!A27</f>
        <v>Aliphatics C6-C8</v>
      </c>
      <c r="B38" s="154">
        <f>((na^(10/3)*'Chem&amp;Phy data'!H27*'Chem&amp;Phy data'!F27*41+nw^(10/3)*'Chem&amp;Phy data'!J27)/n^2)/(pb*'Chem&amp;Phy data'!D27*foc+nw+na*'Chem&amp;Phy data'!F27*41)</f>
        <v>0.001398741361107553</v>
      </c>
      <c r="C38" s="154">
        <f>(Q\C*0.0001*(3.14*B38*Ti)^0.5)/(2*pb*B38)</f>
        <v>2988.7551186592664</v>
      </c>
      <c r="D38" s="154" t="s">
        <v>83</v>
      </c>
      <c r="E38" s="154"/>
      <c r="F38" s="154">
        <f>(THQ*BWa*ATni*365)/(EFi*EDi*((IRSi/'SF&amp;RfD'!G27)*0.000001+(IRAa/'SF&amp;RfD'!I27)*(1/C38)+(SAai/'SF&amp;RfD'!G27)*AFai*'SF&amp;RfD'!K27*0.000001))</f>
        <v>80308.39623331775</v>
      </c>
      <c r="G38" s="154"/>
      <c r="H38" s="183">
        <f>+MIN(D38:G38)</f>
        <v>80308.39623331775</v>
      </c>
      <c r="I38" s="183">
        <f>+IF(MAX(Soili!H38,'Quantitation limits'!B27)&gt;10000,10000,MAX(Soili!H38,'Quantitation limits'!B27))</f>
        <v>10000</v>
      </c>
      <c r="J38" s="214" t="str">
        <f>+IF(I38=D38,"C",IF(I38=E38,"C",IF(I38=F38,"N",IF(I38=G38,"N",IF(I38='Quantitation limits'!B27,"Q",IF(I38=10000,"O,T","?"))))))</f>
        <v>O,T</v>
      </c>
      <c r="L38" s="7"/>
      <c r="M38" s="7"/>
      <c r="N38" s="7"/>
    </row>
    <row r="39" spans="1:14" ht="12.75">
      <c r="A39" s="213" t="str">
        <f>'SF&amp;RfD'!A28</f>
        <v>Aliphatics &gt;C8-C10</v>
      </c>
      <c r="B39" s="154">
        <f>((na^(10/3)*'Chem&amp;Phy data'!H28*'Chem&amp;Phy data'!F28*41+nw^(10/3)*'Chem&amp;Phy data'!J28)/n^2)/(pb*'Chem&amp;Phy data'!D28*foc+nw+na*'Chem&amp;Phy data'!F28*41)</f>
        <v>0.0003223223200000006</v>
      </c>
      <c r="C39" s="154">
        <f aca="true" t="shared" si="4" ref="C39:C47">(Q\C*0.0001*(3.14*B39*Ti)^0.5)/(2*pb*B39)</f>
        <v>6226.067881219999</v>
      </c>
      <c r="D39" s="154" t="s">
        <v>83</v>
      </c>
      <c r="E39" s="154"/>
      <c r="F39" s="154">
        <f>(THQ*BWa*ATni*365)/(EFi*EDi*((IRSi/'SF&amp;RfD'!G28)*0.000001+(IRAa/'SF&amp;RfD'!I28)*(1/C39)+(SAai/'SF&amp;RfD'!G28)*AFai*'SF&amp;RfD'!K28*0.000001))</f>
        <v>8827.926297437578</v>
      </c>
      <c r="G39" s="154"/>
      <c r="H39" s="183">
        <f aca="true" t="shared" si="5" ref="H39:H47">+MIN(D39:G39)</f>
        <v>8827.926297437578</v>
      </c>
      <c r="I39" s="183">
        <f>+IF(MAX(Soili!H39,'Quantitation limits'!B28)&gt;10000,10000,MAX(Soili!H39,'Quantitation limits'!B28))</f>
        <v>8827.926297437578</v>
      </c>
      <c r="J39" s="214" t="str">
        <f>+IF(I39=D39,"C",IF(I39=E39,"C",IF(I39=F39,"N",IF(I39=G39,"N",IF(I39='Quantitation limits'!B28,"Q",IF(I39=10000,"O,T","?"))))))</f>
        <v>N</v>
      </c>
      <c r="L39" s="7"/>
      <c r="M39" s="7"/>
      <c r="N39" s="7"/>
    </row>
    <row r="40" spans="1:14" ht="12.75">
      <c r="A40" s="213" t="str">
        <f>'SF&amp;RfD'!A29</f>
        <v>Aliphatics &gt;C10-C12</v>
      </c>
      <c r="B40" s="154">
        <f>((na^(10/3)*'Chem&amp;Phy data'!H29*'Chem&amp;Phy data'!F29*41+nw^(10/3)*'Chem&amp;Phy data'!J29)/n^2)/(pb*'Chem&amp;Phy data'!D29*foc+nw+na*'Chem&amp;Phy data'!F29*41)</f>
        <v>6.281230511438967E-05</v>
      </c>
      <c r="C40" s="154">
        <f t="shared" si="4"/>
        <v>14103.817372253092</v>
      </c>
      <c r="D40" s="154" t="s">
        <v>83</v>
      </c>
      <c r="E40" s="154"/>
      <c r="F40" s="154">
        <f>(THQ*BWa*ATni*365)/(EFi*EDi*((IRSi/'SF&amp;RfD'!G29)*0.000001+(IRAa/'SF&amp;RfD'!I29)*(1/C40)+(SAai/'SF&amp;RfD'!G29)*AFai*'SF&amp;RfD'!K29*0.000001))</f>
        <v>19552.875629326045</v>
      </c>
      <c r="G40" s="154"/>
      <c r="H40" s="183">
        <f t="shared" si="5"/>
        <v>19552.875629326045</v>
      </c>
      <c r="I40" s="183">
        <f>+IF(MAX(Soili!H40,'Quantitation limits'!B29)&gt;10000,10000,MAX(Soili!H40,'Quantitation limits'!B29))</f>
        <v>10000</v>
      </c>
      <c r="J40" s="214" t="str">
        <f>+IF(I40=D40,"C",IF(I40=E40,"C",IF(I40=F40,"N",IF(I40=G40,"N",IF(I40='Quantitation limits'!B29,"Q",IF(I40=10000,"O,T","?"))))))</f>
        <v>O,T</v>
      </c>
      <c r="L40" s="7"/>
      <c r="M40" s="7"/>
      <c r="N40" s="7"/>
    </row>
    <row r="41" spans="1:14" ht="12.75">
      <c r="A41" s="213" t="str">
        <f>'SF&amp;RfD'!A30</f>
        <v>Aliphatics &gt;C12-C16</v>
      </c>
      <c r="B41" s="154">
        <f>((na^(10/3)*'Chem&amp;Phy data'!H30*'Chem&amp;Phy data'!F30*41+nw^(10/3)*'Chem&amp;Phy data'!J30)/n^2)/(pb*'Chem&amp;Phy data'!D30*foc+nw+na*'Chem&amp;Phy data'!F30*41)</f>
        <v>1.3720510757018227E-05</v>
      </c>
      <c r="C41" s="154">
        <f t="shared" si="4"/>
        <v>30176.84986804825</v>
      </c>
      <c r="D41" s="154" t="s">
        <v>83</v>
      </c>
      <c r="E41" s="154"/>
      <c r="F41" s="154">
        <f>(THQ*BWa*ATni*365)/(EFi*EDi*((IRSi/'SF&amp;RfD'!G30)*0.000001+(IRAa/'SF&amp;RfD'!I30)*(1/C41)+(SAai/'SF&amp;RfD'!G30)*AFai*'SF&amp;RfD'!K30*0.000001))</f>
        <v>37723.327026257924</v>
      </c>
      <c r="G41" s="154"/>
      <c r="H41" s="183">
        <f t="shared" si="5"/>
        <v>37723.327026257924</v>
      </c>
      <c r="I41" s="183">
        <f>+IF(MAX(Soili!H41,'Quantitation limits'!B30)&gt;10000,10000,MAX(Soili!H41,'Quantitation limits'!B30))</f>
        <v>10000</v>
      </c>
      <c r="J41" s="214" t="str">
        <f>+IF(I41=D41,"C",IF(I41=E41,"C",IF(I41=F41,"N",IF(I41=G41,"N",IF(I41='Quantitation limits'!B30,"Q",IF(I41=10000,"O,T","?"))))))</f>
        <v>O,T</v>
      </c>
      <c r="L41" s="7"/>
      <c r="M41" s="7"/>
      <c r="N41" s="7"/>
    </row>
    <row r="42" spans="1:14" ht="12.75">
      <c r="A42" s="213" t="str">
        <f>'SF&amp;RfD'!A31</f>
        <v>Aliphatics &gt;C16-C35</v>
      </c>
      <c r="B42" s="154">
        <f>((na^(10/3)*'Chem&amp;Phy data'!H31*'Chem&amp;Phy data'!F31*41+nw^(10/3)*'Chem&amp;Phy data'!J31)/n^2)/(pb*'Chem&amp;Phy data'!D31*foc+nw+na*'Chem&amp;Phy data'!F31*41)</f>
        <v>1.0269357173231648E-06</v>
      </c>
      <c r="C42" s="154">
        <f t="shared" si="4"/>
        <v>110303.02223303796</v>
      </c>
      <c r="D42" s="154" t="s">
        <v>83</v>
      </c>
      <c r="E42" s="154"/>
      <c r="F42" s="154">
        <f>(THQ*BWa*ATni*365)/(EFi*EDi*((IRSi/'SF&amp;RfD'!G31)*0.000001+(IRAa/'SF&amp;RfD'!I31)*(1/C42)+(SAai/'SF&amp;RfD'!G31)*AFai*'SF&amp;RfD'!K31*0.000001))</f>
        <v>687477.7930993163</v>
      </c>
      <c r="G42" s="154"/>
      <c r="H42" s="183">
        <f t="shared" si="5"/>
        <v>687477.7930993163</v>
      </c>
      <c r="I42" s="183">
        <f>+IF(MAX(Soili!H42,'Quantitation limits'!B31)&gt;10000,10000,MAX(Soili!H42,'Quantitation limits'!B31))</f>
        <v>10000</v>
      </c>
      <c r="J42" s="214" t="str">
        <f>+IF(I42=D42,"C",IF(I42=E42,"C",IF(I42=F42,"N",IF(I42=G42,"N",IF(I42='Quantitation limits'!B31,"Q",IF(I42=10000,"O,T","?"))))))</f>
        <v>O,T</v>
      </c>
      <c r="L42" s="7"/>
      <c r="M42" s="7"/>
      <c r="N42" s="7"/>
    </row>
    <row r="43" spans="1:14" ht="12.75">
      <c r="A43" s="213" t="str">
        <f>'SF&amp;RfD'!A32</f>
        <v>Aromatics &gt;C8-C10</v>
      </c>
      <c r="B43" s="154">
        <f>((na^(10/3)*'Chem&amp;Phy data'!H32*'Chem&amp;Phy data'!F32*41+nw^(10/3)*'Chem&amp;Phy data'!J32)/n^2)/(pb*'Chem&amp;Phy data'!D32*foc+nw+na*'Chem&amp;Phy data'!F32*41)</f>
        <v>3.937363847380037E-05</v>
      </c>
      <c r="C43" s="154">
        <f t="shared" si="4"/>
        <v>17813.787481968742</v>
      </c>
      <c r="D43" s="154" t="s">
        <v>83</v>
      </c>
      <c r="E43" s="154"/>
      <c r="F43" s="154">
        <f>(THQ*BWa*ATni*365)/(EFi*EDi*((IRSi/'SF&amp;RfD'!G32)*0.000001+(IRAa/'SF&amp;RfD'!I32)*(1/C43)+(SAai/'SF&amp;RfD'!G32)*AFai*'SF&amp;RfD'!K32*0.000001))</f>
        <v>5119.702402347808</v>
      </c>
      <c r="G43" s="154"/>
      <c r="H43" s="183">
        <f t="shared" si="5"/>
        <v>5119.702402347808</v>
      </c>
      <c r="I43" s="183">
        <f>+IF(MAX(Soili!H43,'Quantitation limits'!B32)&gt;10000,10000,MAX(Soili!H43,'Quantitation limits'!B32))</f>
        <v>5119.702402347808</v>
      </c>
      <c r="J43" s="214" t="str">
        <f>+IF(I43=D43,"C",IF(I43=E43,"C",IF(I43=F43,"N",IF(I43=G43,"N",IF(I43='Quantitation limits'!B32,"Q",IF(I43=10000,"O,T","?"))))))</f>
        <v>N</v>
      </c>
      <c r="L43" s="7"/>
      <c r="M43" s="7"/>
      <c r="N43" s="7"/>
    </row>
    <row r="44" spans="1:14" ht="12.75">
      <c r="A44" s="213" t="str">
        <f>'SF&amp;RfD'!A33</f>
        <v>Aromatics &gt;C10-C12</v>
      </c>
      <c r="B44" s="154">
        <f>((na^(10/3)*'Chem&amp;Phy data'!H33*'Chem&amp;Phy data'!F33*41+nw^(10/3)*'Chem&amp;Phy data'!J33)/n^2)/(pb*'Chem&amp;Phy data'!D33*foc+nw+na*'Chem&amp;Phy data'!F33*41)</f>
        <v>7.312528859987294E-06</v>
      </c>
      <c r="C44" s="154">
        <f t="shared" si="4"/>
        <v>41335.695088858774</v>
      </c>
      <c r="D44" s="154" t="s">
        <v>83</v>
      </c>
      <c r="E44" s="154"/>
      <c r="F44" s="154">
        <f>(THQ*BWa*ATni*365)/(EFi*EDi*((IRSi/'SF&amp;RfD'!G33)*0.000001+(IRAa/'SF&amp;RfD'!I33)*(1/C44)+(SAai/'SF&amp;RfD'!G33)*AFai*'SF&amp;RfD'!K33*0.000001))</f>
        <v>10972.664012062447</v>
      </c>
      <c r="G44" s="154"/>
      <c r="H44" s="183">
        <f t="shared" si="5"/>
        <v>10972.664012062447</v>
      </c>
      <c r="I44" s="183">
        <f>+IF(MAX(Soili!H44,'Quantitation limits'!B33)&gt;10000,10000,MAX(Soili!H44,'Quantitation limits'!B33))</f>
        <v>10000</v>
      </c>
      <c r="J44" s="214" t="str">
        <f>+IF(I44=D44,"C",IF(I44=E44,"C",IF(I44=F44,"N",IF(I44=G44,"N",IF(I44='Quantitation limits'!B33,"Q",IF(I44=10000,"O,T","?"))))))</f>
        <v>O,T</v>
      </c>
      <c r="L44" s="7"/>
      <c r="M44" s="7"/>
      <c r="N44" s="7"/>
    </row>
    <row r="45" spans="1:14" ht="12.75">
      <c r="A45" s="213" t="str">
        <f>'SF&amp;RfD'!A34</f>
        <v>Aromatics &gt;C12-C16</v>
      </c>
      <c r="B45" s="154">
        <f>((na^(10/3)*'Chem&amp;Phy data'!H34*'Chem&amp;Phy data'!F34*41+nw^(10/3)*'Chem&amp;Phy data'!J34)/n^2)/(pb*'Chem&amp;Phy data'!D34*foc+nw+na*'Chem&amp;Phy data'!F34*41)</f>
        <v>1.3981834752799995E-06</v>
      </c>
      <c r="C45" s="154">
        <f t="shared" si="4"/>
        <v>94531.58920367838</v>
      </c>
      <c r="D45" s="154" t="s">
        <v>83</v>
      </c>
      <c r="E45" s="154"/>
      <c r="F45" s="154">
        <f>(THQ*BWa*ATni*365)/(EFi*EDi*((IRSi/'SF&amp;RfD'!G34)*0.000001+(IRAa/'SF&amp;RfD'!I34)*(1/C45)+(SAai/'SF&amp;RfD'!G34)*AFai*'SF&amp;RfD'!K34*0.000001))</f>
        <v>21397.951423295613</v>
      </c>
      <c r="G45" s="154"/>
      <c r="H45" s="183">
        <f t="shared" si="5"/>
        <v>21397.951423295613</v>
      </c>
      <c r="I45" s="183">
        <f>+IF(MAX(Soili!H45,'Quantitation limits'!B34)&gt;10000,10000,MAX(Soili!H45,'Quantitation limits'!B34))</f>
        <v>10000</v>
      </c>
      <c r="J45" s="214" t="str">
        <f>+IF(I45=D45,"C",IF(I45=E45,"C",IF(I45=F45,"N",IF(I45=G45,"N",IF(I45='Quantitation limits'!B34,"Q",IF(I45=10000,"O,T","?"))))))</f>
        <v>O,T</v>
      </c>
      <c r="L45" s="7"/>
      <c r="M45" s="7"/>
      <c r="N45" s="7"/>
    </row>
    <row r="46" spans="1:14" ht="12.75">
      <c r="A46" s="213" t="str">
        <f>'SF&amp;RfD'!A35</f>
        <v>Aromatics &gt;C16-C21</v>
      </c>
      <c r="B46" s="154">
        <f>((na^(10/3)*'Chem&amp;Phy data'!H35*'Chem&amp;Phy data'!F35*41+nw^(10/3)*'Chem&amp;Phy data'!J35)/n^2)/(pb*'Chem&amp;Phy data'!D35*foc+nw+na*'Chem&amp;Phy data'!F35*41)</f>
        <v>1.1096783768463959E-07</v>
      </c>
      <c r="C46" s="154">
        <f t="shared" si="4"/>
        <v>335552.5007549717</v>
      </c>
      <c r="D46" s="154" t="s">
        <v>83</v>
      </c>
      <c r="E46" s="154"/>
      <c r="F46" s="154">
        <f>(THQ*BWa*ATni*365)/(EFi*EDi*((IRSi/'SF&amp;RfD'!G35)*0.000001+(IRAa/'SF&amp;RfD'!I35)*(1/C46)+(SAai/'SF&amp;RfD'!G35)*AFai*'SF&amp;RfD'!K35*0.000001))</f>
        <v>17459.81933341134</v>
      </c>
      <c r="G46" s="154"/>
      <c r="H46" s="183">
        <f t="shared" si="5"/>
        <v>17459.81933341134</v>
      </c>
      <c r="I46" s="183">
        <f>+IF(MAX(Soili!H46,'Quantitation limits'!B35)&gt;10000,10000,MAX(Soili!H46,'Quantitation limits'!B35))</f>
        <v>10000</v>
      </c>
      <c r="J46" s="214" t="str">
        <f>+IF(I46=D46,"C",IF(I46=E46,"C",IF(I46=F46,"N",IF(I46=G46,"N",IF(I46='Quantitation limits'!B35,"Q",IF(I46=10000,"O,T","?"))))))</f>
        <v>O,T</v>
      </c>
      <c r="L46" s="7"/>
      <c r="M46" s="7"/>
      <c r="N46" s="7"/>
    </row>
    <row r="47" spans="1:14" ht="12.75">
      <c r="A47" s="213" t="str">
        <f>'SF&amp;RfD'!A36</f>
        <v>Aromatics &gt;C21-C35</v>
      </c>
      <c r="B47" s="154">
        <f>((na^(10/3)*'Chem&amp;Phy data'!H36*'Chem&amp;Phy data'!F36*41+nw^(10/3)*'Chem&amp;Phy data'!J36)/n^2)/(pb*'Chem&amp;Phy data'!D36*foc+nw+na*'Chem&amp;Phy data'!F36*41)</f>
        <v>1.0355130931084306E-09</v>
      </c>
      <c r="C47" s="154">
        <f t="shared" si="4"/>
        <v>3473611.5029147505</v>
      </c>
      <c r="D47" s="154" t="s">
        <v>83</v>
      </c>
      <c r="E47" s="154"/>
      <c r="F47" s="154">
        <f>(THQ*BWa*ATni*365)/(EFi*EDi*((IRSi/'SF&amp;RfD'!G36)*0.000001+(IRAa/'SF&amp;RfD'!I36)*(1/C47)+(SAai/'SF&amp;RfD'!G36)*AFai*'SF&amp;RfD'!K36*0.000001))</f>
        <v>25181.15974497301</v>
      </c>
      <c r="G47" s="154"/>
      <c r="H47" s="183">
        <f t="shared" si="5"/>
        <v>25181.15974497301</v>
      </c>
      <c r="I47" s="183">
        <f>+IF(MAX(Soili!H47,'Quantitation limits'!B36)&gt;10000,10000,MAX(Soili!H47,'Quantitation limits'!B36))</f>
        <v>10000</v>
      </c>
      <c r="J47" s="214" t="str">
        <f>+IF(I47=D47,"C",IF(I47=E47,"C",IF(I47=F47,"N",IF(I47=G47,"N",IF(I47='Quantitation limits'!B36,"Q",IF(I47=10000,"O,T","?"))))))</f>
        <v>O,T</v>
      </c>
      <c r="L47" s="7"/>
      <c r="M47" s="7"/>
      <c r="N47" s="7"/>
    </row>
    <row r="48" spans="1:14" ht="12.75">
      <c r="A48" s="213" t="s">
        <v>501</v>
      </c>
      <c r="B48" s="170"/>
      <c r="C48" s="170"/>
      <c r="D48" s="170"/>
      <c r="E48" s="170"/>
      <c r="F48" s="170"/>
      <c r="G48" s="170"/>
      <c r="H48" s="183">
        <f>+MIN(H38:H39,H43)</f>
        <v>5119.702402347808</v>
      </c>
      <c r="I48" s="183">
        <f>+MIN(I38:I39,I43)</f>
        <v>5119.702402347808</v>
      </c>
      <c r="J48" s="214"/>
      <c r="L48" s="7"/>
      <c r="M48" s="7"/>
      <c r="N48" s="7"/>
    </row>
    <row r="49" spans="1:14" ht="12.75">
      <c r="A49" s="213" t="s">
        <v>502</v>
      </c>
      <c r="B49" s="170"/>
      <c r="C49" s="170"/>
      <c r="D49" s="170"/>
      <c r="E49" s="170"/>
      <c r="F49" s="170"/>
      <c r="G49" s="170"/>
      <c r="H49" s="183">
        <f>+MIN(H39:H42,H43:H47)</f>
        <v>5119.702402347808</v>
      </c>
      <c r="I49" s="183">
        <f>+MIN(I39:I42,I43:I47)</f>
        <v>5119.702402347808</v>
      </c>
      <c r="J49" s="214"/>
      <c r="L49" s="7"/>
      <c r="M49" s="7"/>
      <c r="N49" s="7"/>
    </row>
    <row r="50" spans="1:14" ht="12.75">
      <c r="A50" s="215" t="s">
        <v>503</v>
      </c>
      <c r="B50" s="161"/>
      <c r="C50" s="161"/>
      <c r="D50" s="161"/>
      <c r="E50" s="161"/>
      <c r="F50" s="161"/>
      <c r="G50" s="161"/>
      <c r="H50" s="184">
        <f>+MIN(H42,H47)</f>
        <v>25181.15974497301</v>
      </c>
      <c r="I50" s="184">
        <f>+MIN(I42,I47)</f>
        <v>10000</v>
      </c>
      <c r="J50" s="216"/>
      <c r="L50" s="7"/>
      <c r="M50" s="7"/>
      <c r="N50" s="7"/>
    </row>
    <row r="51" spans="1:14" ht="12.75">
      <c r="A51" s="7"/>
      <c r="C51" s="7"/>
      <c r="D51" s="7"/>
      <c r="E51" s="7"/>
      <c r="F51" s="7"/>
      <c r="G51" s="7"/>
      <c r="H51" s="7"/>
      <c r="I51" s="7"/>
      <c r="J51" s="87"/>
      <c r="K51" s="7"/>
      <c r="L51" s="7"/>
      <c r="M51" s="7"/>
      <c r="N51" s="7"/>
    </row>
    <row r="52" spans="1:14" ht="12.75">
      <c r="A52" s="7"/>
      <c r="C52" s="7"/>
      <c r="D52" s="7"/>
      <c r="E52" s="7"/>
      <c r="F52" s="7"/>
      <c r="G52" s="7"/>
      <c r="H52" s="7"/>
      <c r="I52" s="7"/>
      <c r="J52" s="87"/>
      <c r="K52" s="7"/>
      <c r="L52" s="7"/>
      <c r="M52" s="7"/>
      <c r="N52" s="7"/>
    </row>
    <row r="53" spans="1:14" ht="12.75">
      <c r="A53" s="7"/>
      <c r="C53" s="7"/>
      <c r="D53" s="7"/>
      <c r="E53" s="7"/>
      <c r="F53" s="7"/>
      <c r="G53" s="7"/>
      <c r="H53" s="7"/>
      <c r="I53" s="7"/>
      <c r="J53" s="87"/>
      <c r="K53" s="7"/>
      <c r="L53" s="7"/>
      <c r="M53" s="7"/>
      <c r="N53" s="7"/>
    </row>
    <row r="54" spans="11:14" ht="12.75">
      <c r="K54" s="7"/>
      <c r="L54" s="7"/>
      <c r="M54" s="7"/>
      <c r="N54" s="7"/>
    </row>
    <row r="55" spans="1:14" ht="12.75">
      <c r="A55" s="120" t="str">
        <f>'SF&amp;RfD'!A55</f>
        <v>ADDITIONAL COMPOUNDS</v>
      </c>
      <c r="C55" s="7"/>
      <c r="D55" s="7"/>
      <c r="E55" s="7"/>
      <c r="F55" s="7"/>
      <c r="G55" s="7"/>
      <c r="H55" s="7"/>
      <c r="I55" s="7"/>
      <c r="J55" s="87"/>
      <c r="K55" s="7"/>
      <c r="L55" s="7"/>
      <c r="M55" s="7"/>
      <c r="N55" s="7"/>
    </row>
    <row r="56" spans="1:14" ht="12.75">
      <c r="A56" s="19" t="str">
        <f>'SF&amp;RfD'!A56</f>
        <v>ORGANIC COUMPOUNDS</v>
      </c>
      <c r="B56" s="13"/>
      <c r="C56" s="13"/>
      <c r="D56" s="13"/>
      <c r="E56" s="13"/>
      <c r="F56" s="13"/>
      <c r="G56" s="13"/>
      <c r="H56" s="13"/>
      <c r="I56" s="13"/>
      <c r="J56" s="28"/>
      <c r="K56" s="7"/>
      <c r="L56" s="7"/>
      <c r="M56" s="7"/>
      <c r="N56" s="7"/>
    </row>
    <row r="57" spans="1:14" ht="12.75">
      <c r="A57" s="19" t="str">
        <f>'SF&amp;RfD'!A57</f>
        <v>Benzene</v>
      </c>
      <c r="B57" s="20">
        <f>((na^(10/3)*'Chem&amp;Phy data'!H57*'Chem&amp;Phy data'!F57*41+nw^(10/3)*'Chem&amp;Phy data'!J57)/n^2)/(pb*'Chem&amp;Phy data'!D57*foc+nw+na*'Chem&amp;Phy data'!F57*41)</f>
        <v>0.0003098818385796398</v>
      </c>
      <c r="C57" s="20">
        <f aca="true" t="shared" si="6" ref="C57:C63">(Q\C*0.0001*(3.14*B57*Ti)^0.5)/(2*pb*B57)</f>
        <v>6349.813641548075</v>
      </c>
      <c r="D57" s="20">
        <f>(TR*BWa*ATc*365)/(EFi*EDi*('SF&amp;RfD'!C57*0.000001*IRSi+'SF&amp;RfD'!E57*(IRAa/C57)+'SF&amp;RfD'!C57*SAai*AFai*'SF&amp;RfD'!K57*0.000001))</f>
        <v>3.0215849669212593</v>
      </c>
      <c r="E57" s="20"/>
      <c r="F57" s="20">
        <f>(THQ*BWa*ATni*365)/(EFi*EDi*((IRSi/'SF&amp;RfD'!G57)*0.000001+(IRAa/'SF&amp;RfD'!I57)*(1/C57)+(SAai/'SF&amp;RfD'!G57)*AFai*'SF&amp;RfD'!K57*0.000001))</f>
        <v>54.344480940079386</v>
      </c>
      <c r="G57" s="20"/>
      <c r="H57" s="18">
        <f aca="true" t="shared" si="7" ref="H57:H63">+MIN(D57:G57)</f>
        <v>3.0215849669212593</v>
      </c>
      <c r="I57" s="18">
        <f>+IF(MAX(Soili!H57,'Quantitation limits'!B47)&gt;1000000,1000000,MAX(Soili!H57,'Quantitation limits'!B47))</f>
        <v>3.0215849669212593</v>
      </c>
      <c r="J57" s="24" t="str">
        <f>+IF(I57=D57,"C",IF(I57=E57,"C",IF(I57=F57,"N",IF(I57=G57,"N",IF(I57='Quantitation limits'!B47,"Q",IF(I57&gt;1000000,1000000,IF(I57=1000000,"O","?")))))))</f>
        <v>C</v>
      </c>
      <c r="K57" s="7"/>
      <c r="L57" s="7"/>
      <c r="M57" s="7"/>
      <c r="N57" s="7"/>
    </row>
    <row r="58" spans="1:14" ht="12.75">
      <c r="A58" s="19" t="str">
        <f>'SF&amp;RfD'!A58</f>
        <v>Benzene</v>
      </c>
      <c r="B58" s="20">
        <f>((na^(10/3)*'Chem&amp;Phy data'!H58*'Chem&amp;Phy data'!F58*41+nw^(10/3)*'Chem&amp;Phy data'!J58)/n^2)/(pb*'Chem&amp;Phy data'!D58*foc+nw+na*'Chem&amp;Phy data'!F58*41)</f>
        <v>0.0003098818385796398</v>
      </c>
      <c r="C58" s="20">
        <f t="shared" si="6"/>
        <v>6349.813641548075</v>
      </c>
      <c r="D58" s="20">
        <f>(TR*BWa*ATc*365)/(EFi*EDi*('SF&amp;RfD'!C58*0.000001*IRSi+'SF&amp;RfD'!E58*(IRAa/C58)+'SF&amp;RfD'!C58*SAai*AFai*'SF&amp;RfD'!K58*0.000001))</f>
        <v>3.0215849669212593</v>
      </c>
      <c r="E58" s="20"/>
      <c r="F58" s="20">
        <f>(THQ*BWa*ATni*365)/(EFi*EDi*((IRSi/'SF&amp;RfD'!G58)*0.000001+(IRAa/'SF&amp;RfD'!I58)*(1/C58)+(SAai/'SF&amp;RfD'!G58)*AFai*'SF&amp;RfD'!K58*0.000001))</f>
        <v>54.344480940079386</v>
      </c>
      <c r="G58" s="20"/>
      <c r="H58" s="18">
        <f t="shared" si="7"/>
        <v>3.0215849669212593</v>
      </c>
      <c r="I58" s="18">
        <f>+IF(MAX(Soili!H58,'Quantitation limits'!B48)&gt;1000000,1000000,MAX(Soili!H58,'Quantitation limits'!B48))</f>
        <v>3.0215849669212593</v>
      </c>
      <c r="J58" s="24" t="str">
        <f>+IF(I58=D58,"C",IF(I58=E58,"C",IF(I58=F58,"N",IF(I58=G58,"N",IF(I58='Quantitation limits'!B48,"Q",IF(I58&gt;1000000,1000000,IF(I58=1000000,"O","?")))))))</f>
        <v>C</v>
      </c>
      <c r="K58" s="7"/>
      <c r="L58" s="7"/>
      <c r="M58" s="7"/>
      <c r="N58" s="7"/>
    </row>
    <row r="59" spans="1:14" ht="12.75">
      <c r="A59" s="19" t="str">
        <f>'SF&amp;RfD'!A59</f>
        <v>Benzene</v>
      </c>
      <c r="B59" s="20">
        <f>((na^(10/3)*'Chem&amp;Phy data'!H59*'Chem&amp;Phy data'!F59*41+nw^(10/3)*'Chem&amp;Phy data'!J59)/n^2)/(pb*'Chem&amp;Phy data'!D59*foc+nw+na*'Chem&amp;Phy data'!F59*41)</f>
        <v>0.0003098818385796398</v>
      </c>
      <c r="C59" s="20">
        <f t="shared" si="6"/>
        <v>6349.813641548075</v>
      </c>
      <c r="D59" s="20">
        <f>(TR*BWa*ATc*365)/(EFi*EDi*('SF&amp;RfD'!C59*0.000001*IRSi+'SF&amp;RfD'!E59*(IRAa/C59)+'SF&amp;RfD'!C59*SAai*AFai*'SF&amp;RfD'!K59*0.000001))</f>
        <v>3.0215849669212593</v>
      </c>
      <c r="E59" s="20"/>
      <c r="F59" s="20">
        <f>(THQ*BWa*ATni*365)/(EFi*EDi*((IRSi/'SF&amp;RfD'!G59)*0.000001+(IRAa/'SF&amp;RfD'!I59)*(1/C59)+(SAai/'SF&amp;RfD'!G59)*AFai*'SF&amp;RfD'!K59*0.000001))</f>
        <v>54.344480940079386</v>
      </c>
      <c r="G59" s="20"/>
      <c r="H59" s="18">
        <f t="shared" si="7"/>
        <v>3.0215849669212593</v>
      </c>
      <c r="I59" s="18">
        <f>+IF(MAX(Soili!H59,'Quantitation limits'!B49)&gt;1000000,1000000,MAX(Soili!H59,'Quantitation limits'!B49))</f>
        <v>3.0215849669212593</v>
      </c>
      <c r="J59" s="24" t="str">
        <f>+IF(I59=D59,"C",IF(I59=E59,"C",IF(I59=F59,"N",IF(I59=G59,"N",IF(I59='Quantitation limits'!B49,"Q",IF(I59&gt;1000000,1000000,IF(I59=1000000,"O","?")))))))</f>
        <v>C</v>
      </c>
      <c r="K59" s="7"/>
      <c r="L59" s="7"/>
      <c r="M59" s="7"/>
      <c r="N59" s="7"/>
    </row>
    <row r="60" spans="1:14" ht="12.75">
      <c r="A60" s="19" t="str">
        <f>'SF&amp;RfD'!A60</f>
        <v>Benzene</v>
      </c>
      <c r="B60" s="20">
        <f>((na^(10/3)*'Chem&amp;Phy data'!H60*'Chem&amp;Phy data'!F60*41+nw^(10/3)*'Chem&amp;Phy data'!J60)/n^2)/(pb*'Chem&amp;Phy data'!D60*foc+nw+na*'Chem&amp;Phy data'!F60*41)</f>
        <v>0.0003098818385796398</v>
      </c>
      <c r="C60" s="20">
        <f t="shared" si="6"/>
        <v>6349.813641548075</v>
      </c>
      <c r="D60" s="20">
        <f>(TR*BWa*ATc*365)/(EFi*EDi*('SF&amp;RfD'!C60*0.000001*IRSi+'SF&amp;RfD'!E60*(IRAa/C60)+'SF&amp;RfD'!C60*SAai*AFai*'SF&amp;RfD'!K60*0.000001))</f>
        <v>3.0215849669212593</v>
      </c>
      <c r="E60" s="20"/>
      <c r="F60" s="20">
        <f>(THQ*BWa*ATni*365)/(EFi*EDi*((IRSi/'SF&amp;RfD'!G60)*0.000001+(IRAa/'SF&amp;RfD'!I60)*(1/C60)+(SAai/'SF&amp;RfD'!G60)*AFai*'SF&amp;RfD'!K60*0.000001))</f>
        <v>54.344480940079386</v>
      </c>
      <c r="G60" s="20"/>
      <c r="H60" s="18">
        <f t="shared" si="7"/>
        <v>3.0215849669212593</v>
      </c>
      <c r="I60" s="18">
        <f>+IF(MAX(Soili!H60,'Quantitation limits'!B50)&gt;1000000,1000000,MAX(Soili!H60,'Quantitation limits'!B50))</f>
        <v>3.0215849669212593</v>
      </c>
      <c r="J60" s="24" t="str">
        <f>+IF(I60=D60,"C",IF(I60=E60,"C",IF(I60=F60,"N",IF(I60=G60,"N",IF(I60='Quantitation limits'!B50,"Q",IF(I60&gt;1000000,1000000,IF(I60=1000000,"O","?")))))))</f>
        <v>C</v>
      </c>
      <c r="K60" s="7"/>
      <c r="L60" s="7"/>
      <c r="M60" s="7"/>
      <c r="N60" s="7"/>
    </row>
    <row r="61" spans="1:14" ht="12.75">
      <c r="A61" s="19" t="str">
        <f>'SF&amp;RfD'!A61</f>
        <v>Benzene</v>
      </c>
      <c r="B61" s="20">
        <f>((na^(10/3)*'Chem&amp;Phy data'!H61*'Chem&amp;Phy data'!F61*41+nw^(10/3)*'Chem&amp;Phy data'!J61)/n^2)/(pb*'Chem&amp;Phy data'!D61*foc+nw+na*'Chem&amp;Phy data'!F61*41)</f>
        <v>0.0003098818385796398</v>
      </c>
      <c r="C61" s="20">
        <f t="shared" si="6"/>
        <v>6349.813641548075</v>
      </c>
      <c r="D61" s="20">
        <f>(TR*BWa*ATc*365)/(EFi*EDi*('SF&amp;RfD'!C61*0.000001*IRSi+'SF&amp;RfD'!E61*(IRAa/C61)+'SF&amp;RfD'!C61*SAai*AFai*'SF&amp;RfD'!K61*0.000001))</f>
        <v>3.0215849669212593</v>
      </c>
      <c r="E61" s="20"/>
      <c r="F61" s="20">
        <f>(THQ*BWa*ATni*365)/(EFi*EDi*((IRSi/'SF&amp;RfD'!G61)*0.000001+(IRAa/'SF&amp;RfD'!I61)*(1/C61)+(SAai/'SF&amp;RfD'!G61)*AFai*'SF&amp;RfD'!K61*0.000001))</f>
        <v>54.344480940079386</v>
      </c>
      <c r="G61" s="20"/>
      <c r="H61" s="18">
        <f t="shared" si="7"/>
        <v>3.0215849669212593</v>
      </c>
      <c r="I61" s="18">
        <f>+IF(MAX(Soili!H61,'Quantitation limits'!B51)&gt;1000000,1000000,MAX(Soili!H61,'Quantitation limits'!B51))</f>
        <v>3.0215849669212593</v>
      </c>
      <c r="J61" s="24" t="str">
        <f>+IF(I61=D61,"C",IF(I61=E61,"C",IF(I61=F61,"N",IF(I61=G61,"N",IF(I61='Quantitation limits'!B51,"Q",IF(I61&gt;1000000,1000000,IF(I61=1000000,"O","?")))))))</f>
        <v>C</v>
      </c>
      <c r="K61" s="7"/>
      <c r="L61" s="7"/>
      <c r="M61" s="7"/>
      <c r="N61" s="7"/>
    </row>
    <row r="62" spans="1:14" ht="12.75">
      <c r="A62" s="19" t="str">
        <f>'SF&amp;RfD'!A62</f>
        <v>Benzene</v>
      </c>
      <c r="B62" s="20">
        <f>((na^(10/3)*'Chem&amp;Phy data'!H62*'Chem&amp;Phy data'!F62*41+nw^(10/3)*'Chem&amp;Phy data'!J62)/n^2)/(pb*'Chem&amp;Phy data'!D62*foc+nw+na*'Chem&amp;Phy data'!F62*41)</f>
        <v>0.0003098818385796398</v>
      </c>
      <c r="C62" s="20">
        <f t="shared" si="6"/>
        <v>6349.813641548075</v>
      </c>
      <c r="D62" s="20">
        <f>(TR*BWa*ATc*365)/(EFi*EDi*('SF&amp;RfD'!C62*0.000001*IRSi+'SF&amp;RfD'!E62*(IRAa/C62)+'SF&amp;RfD'!C62*SAai*AFai*'SF&amp;RfD'!K62*0.000001))</f>
        <v>3.0215849669212593</v>
      </c>
      <c r="E62" s="20"/>
      <c r="F62" s="20">
        <f>(THQ*BWa*ATni*365)/(EFi*EDi*((IRSi/'SF&amp;RfD'!G62)*0.000001+(IRAa/'SF&amp;RfD'!I62)*(1/C62)+(SAai/'SF&amp;RfD'!G62)*AFai*'SF&amp;RfD'!K62*0.000001))</f>
        <v>54.344480940079386</v>
      </c>
      <c r="G62" s="20"/>
      <c r="H62" s="18">
        <f t="shared" si="7"/>
        <v>3.0215849669212593</v>
      </c>
      <c r="I62" s="18">
        <f>+IF(MAX(Soili!H62,'Quantitation limits'!B52)&gt;1000000,1000000,MAX(Soili!H62,'Quantitation limits'!B52))</f>
        <v>3.0215849669212593</v>
      </c>
      <c r="J62" s="24" t="str">
        <f>+IF(I62=D62,"C",IF(I62=E62,"C",IF(I62=F62,"N",IF(I62=G62,"N",IF(I62='Quantitation limits'!B52,"Q",IF(I62&gt;1000000,1000000,IF(I62=1000000,"O","?")))))))</f>
        <v>C</v>
      </c>
      <c r="K62" s="7"/>
      <c r="L62" s="7"/>
      <c r="M62" s="7"/>
      <c r="N62" s="7"/>
    </row>
    <row r="63" spans="1:14" ht="12.75">
      <c r="A63" s="19" t="str">
        <f>'SF&amp;RfD'!A63</f>
        <v>Formaldehyde</v>
      </c>
      <c r="B63" s="20">
        <f>((na^(10/3)*'Chem&amp;Phy data'!H63*'Chem&amp;Phy data'!F63*41+nw^(10/3)*'Chem&amp;Phy data'!J63)/n^2)/(pb*'Chem&amp;Phy data'!D63*foc+nw+na*'Chem&amp;Phy data'!F63*41)</f>
        <v>3.6048757026583307E-06</v>
      </c>
      <c r="C63" s="20">
        <f t="shared" si="6"/>
        <v>58872.691928975815</v>
      </c>
      <c r="D63" s="20">
        <f>(TR*BWa*ATc*365)/(EFi*EDi*('SF&amp;RfD'!C63*0.000001*IRSi+'SF&amp;RfD'!E63*(IRAa/C63)+'SF&amp;RfD'!C63*SAai*AFai*'SF&amp;RfD'!K63*0.000001))</f>
        <v>13.650757272621341</v>
      </c>
      <c r="E63" s="20"/>
      <c r="F63" s="20">
        <f>(THQ*BWa*ATni*365)/(EFi*EDi*((IRSi/'SF&amp;RfD'!G63)*0.000001+(IRAa/'SF&amp;RfD'!I63)*(1/C63)+(SAai/'SF&amp;RfD'!G63)*AFai*'SF&amp;RfD'!K63*0.000001))</f>
        <v>44852.48818147012</v>
      </c>
      <c r="G63" s="20"/>
      <c r="H63" s="18">
        <f t="shared" si="7"/>
        <v>13.650757272621341</v>
      </c>
      <c r="I63" s="18">
        <f>+IF(MAX(Soili!H63,'Quantitation limits'!B53)&gt;1000000,1000000,MAX(Soili!H63,'Quantitation limits'!B53))</f>
        <v>13.650757272621341</v>
      </c>
      <c r="J63" s="24" t="str">
        <f>+IF(I63=D63,"C",IF(I63=E63,"C",IF(I63=F63,"N",IF(I63=G63,"N",IF(I63='Quantitation limits'!B53,"Q",IF(I63&gt;1000000,1000000,IF(I63=1000000,"O","?")))))))</f>
        <v>C</v>
      </c>
      <c r="K63" s="7"/>
      <c r="L63" s="7"/>
      <c r="M63" s="7"/>
      <c r="N63" s="7"/>
    </row>
    <row r="64" spans="1:14" ht="12.75">
      <c r="A64" s="13"/>
      <c r="B64" s="13"/>
      <c r="C64" s="13"/>
      <c r="D64" s="13"/>
      <c r="E64" s="13"/>
      <c r="F64" s="13"/>
      <c r="G64" s="13"/>
      <c r="H64" s="13"/>
      <c r="I64" s="13"/>
      <c r="J64" s="28"/>
      <c r="K64" s="7"/>
      <c r="L64" s="7"/>
      <c r="M64" s="7"/>
      <c r="N64" s="7"/>
    </row>
    <row r="65" spans="1:14" ht="12.75">
      <c r="A65" s="13"/>
      <c r="B65" s="13"/>
      <c r="C65" s="13"/>
      <c r="D65" s="13"/>
      <c r="E65" s="13"/>
      <c r="F65" s="13"/>
      <c r="G65" s="13"/>
      <c r="H65" s="13"/>
      <c r="I65" s="13"/>
      <c r="J65" s="28"/>
      <c r="K65" s="7"/>
      <c r="L65" s="7"/>
      <c r="M65" s="7"/>
      <c r="N65" s="7"/>
    </row>
    <row r="66" spans="1:14" ht="12.75">
      <c r="A66" s="19" t="str">
        <f>'SF&amp;RfD'!A66</f>
        <v>INORGANIC COMPOUNDS</v>
      </c>
      <c r="B66" s="13"/>
      <c r="C66" s="13"/>
      <c r="D66" s="13"/>
      <c r="E66" s="13"/>
      <c r="F66" s="13"/>
      <c r="G66" s="13"/>
      <c r="H66" s="13"/>
      <c r="I66" s="13"/>
      <c r="J66" s="28"/>
      <c r="K66" s="7"/>
      <c r="L66" s="7"/>
      <c r="M66" s="7"/>
      <c r="N66" s="7"/>
    </row>
    <row r="67" spans="1:14" ht="12.75">
      <c r="A67" s="19" t="str">
        <f>'SF&amp;RfD'!A67</f>
        <v>Antimony</v>
      </c>
      <c r="B67" s="20" t="s">
        <v>83</v>
      </c>
      <c r="C67" s="20" t="s">
        <v>83</v>
      </c>
      <c r="D67" s="20"/>
      <c r="E67" s="117" t="e">
        <f>(TR*BWa*ATc*365)/(EFi*EDi*('SF&amp;RfD'!C67*0.000001*IRSi+'SF&amp;RfD'!C67*SAai*AFai*'SF&amp;RfD'!K67*0.000001))</f>
        <v>#VALUE!</v>
      </c>
      <c r="F67" s="20"/>
      <c r="G67" s="20">
        <f>(THQ*BWa*ATni*365)/(EFi*EDi*((IRSi/'SF&amp;RfD'!G67)*0.000001+(SAai/'SF&amp;RfD'!G67)*AFai*'SF&amp;RfD'!K67*0.000001))</f>
        <v>722.2614840989398</v>
      </c>
      <c r="H67" s="18" t="e">
        <f>+MIN(D67:G67)</f>
        <v>#VALUE!</v>
      </c>
      <c r="I67" s="18" t="e">
        <f>+IF(MAX(Soili!H67,'Quantitation limits'!B57)&gt;1000000,1000000,MAX(Soili!H67,'Quantitation limits'!B57))</f>
        <v>#VALUE!</v>
      </c>
      <c r="J67" s="24" t="e">
        <f>+IF(I67=D67,"C",IF(I67=E67,"C",IF(I67=F67,"N",IF(I67=G67,"N",IF(I67='Quantitation limits'!B57,"Q",IF(I67&gt;1000000,1000000,IF(I67=1000000,"O","?")))))))</f>
        <v>#VALUE!</v>
      </c>
      <c r="K67" s="7"/>
      <c r="L67" s="7"/>
      <c r="M67" s="7"/>
      <c r="N67" s="7"/>
    </row>
    <row r="68" spans="1:14" ht="12.75">
      <c r="A68" s="19" t="str">
        <f>'SF&amp;RfD'!A68</f>
        <v>Antimony</v>
      </c>
      <c r="B68" s="20" t="s">
        <v>83</v>
      </c>
      <c r="C68" s="20" t="s">
        <v>83</v>
      </c>
      <c r="D68" s="20"/>
      <c r="E68" s="117" t="e">
        <f>(TR*BWa*ATc*365)/(EFi*EDi*('SF&amp;RfD'!C68*0.000001*IRSi+'SF&amp;RfD'!C68*SAai*AFai*'SF&amp;RfD'!K68*0.000001))</f>
        <v>#VALUE!</v>
      </c>
      <c r="F68" s="20"/>
      <c r="G68" s="20">
        <f>(THQ*BWa*ATni*365)/(EFi*EDi*((IRSi/'SF&amp;RfD'!G68)*0.000001+(SAai/'SF&amp;RfD'!G68)*AFai*'SF&amp;RfD'!K68*0.000001))</f>
        <v>722.2614840989398</v>
      </c>
      <c r="H68" s="18" t="e">
        <f>+MIN(D68:G68)</f>
        <v>#VALUE!</v>
      </c>
      <c r="I68" s="18" t="e">
        <f>+IF(MAX(Soili!H68,'Quantitation limits'!B58)&gt;1000000,1000000,MAX(Soili!H68,'Quantitation limits'!B58))</f>
        <v>#VALUE!</v>
      </c>
      <c r="J68" s="24" t="e">
        <f>+IF(I68=D68,"C",IF(I68=E68,"C",IF(I68=F68,"N",IF(I68=G68,"N",IF(I68='Quantitation limits'!B58,"Q",IF(I68&gt;1000000,1000000,IF(I68=1000000,"O","?")))))))</f>
        <v>#VALUE!</v>
      </c>
      <c r="K68" s="7"/>
      <c r="L68" s="7"/>
      <c r="M68" s="7"/>
      <c r="N68" s="7"/>
    </row>
    <row r="69" spans="1:14" ht="12.75">
      <c r="A69" s="19" t="str">
        <f>'SF&amp;RfD'!A69</f>
        <v>Antimony</v>
      </c>
      <c r="B69" s="20" t="s">
        <v>83</v>
      </c>
      <c r="C69" s="20" t="s">
        <v>83</v>
      </c>
      <c r="D69" s="20"/>
      <c r="E69" s="117" t="e">
        <f>(TR*BWa*ATc*365)/(EFi*EDi*('SF&amp;RfD'!C69*0.000001*IRSi+'SF&amp;RfD'!C69*SAai*AFai*'SF&amp;RfD'!K69*0.000001))</f>
        <v>#VALUE!</v>
      </c>
      <c r="F69" s="20"/>
      <c r="G69" s="20">
        <f>(THQ*BWa*ATni*365)/(EFi*EDi*((IRSi/'SF&amp;RfD'!G69)*0.000001+(SAai/'SF&amp;RfD'!G69)*AFai*'SF&amp;RfD'!K69*0.000001))</f>
        <v>722.2614840989398</v>
      </c>
      <c r="H69" s="18" t="e">
        <f>+MIN(D69:G69)</f>
        <v>#VALUE!</v>
      </c>
      <c r="I69" s="18" t="e">
        <f>+IF(MAX(Soili!H69,'Quantitation limits'!B59)&gt;1000000,1000000,MAX(Soili!H69,'Quantitation limits'!B59))</f>
        <v>#VALUE!</v>
      </c>
      <c r="J69" s="24" t="e">
        <f>+IF(I69=D69,"C",IF(I69=E69,"C",IF(I69=F69,"N",IF(I69=G69,"N",IF(I69='Quantitation limits'!B59,"Q",IF(I69&gt;1000000,1000000,IF(I69=1000000,"O","?")))))))</f>
        <v>#VALUE!</v>
      </c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8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8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J72" s="87"/>
      <c r="K72" s="7"/>
      <c r="L72" s="7"/>
      <c r="M72" s="7"/>
      <c r="N72" s="7"/>
    </row>
    <row r="73" spans="1:14" ht="12.75">
      <c r="A73" s="7"/>
      <c r="B73" s="7"/>
      <c r="C73" s="7"/>
      <c r="D73" s="7"/>
      <c r="E73" s="7"/>
      <c r="F73" s="7"/>
      <c r="G73" s="7"/>
      <c r="H73" s="7"/>
      <c r="I73" s="7"/>
      <c r="J73" s="87"/>
      <c r="K73" s="7"/>
      <c r="L73" s="7"/>
      <c r="M73" s="7"/>
      <c r="N73" s="7"/>
    </row>
    <row r="74" spans="1:14" ht="12.75">
      <c r="A74" s="7"/>
      <c r="B74" s="7"/>
      <c r="C74" s="7"/>
      <c r="D74" s="7"/>
      <c r="E74" s="7"/>
      <c r="F74" s="7"/>
      <c r="G74" s="7"/>
      <c r="H74" s="7"/>
      <c r="I74" s="7"/>
      <c r="J74" s="87"/>
      <c r="K74" s="7"/>
      <c r="L74" s="7"/>
      <c r="M74" s="7"/>
      <c r="N74" s="7"/>
    </row>
    <row r="75" spans="1:14" ht="12.75">
      <c r="A75" s="7"/>
      <c r="B75" s="7"/>
      <c r="C75" s="7"/>
      <c r="D75" s="7"/>
      <c r="E75" s="7"/>
      <c r="F75" s="7"/>
      <c r="G75" s="7"/>
      <c r="H75" s="7"/>
      <c r="I75" s="7"/>
      <c r="J75" s="87"/>
      <c r="K75" s="7"/>
      <c r="L75" s="7"/>
      <c r="M75" s="7"/>
      <c r="N75" s="7"/>
    </row>
    <row r="76" spans="1:14" ht="12.75">
      <c r="A76" s="7"/>
      <c r="B76" s="7"/>
      <c r="C76" s="7"/>
      <c r="D76" s="7"/>
      <c r="E76" s="7"/>
      <c r="F76" s="7"/>
      <c r="G76" s="7"/>
      <c r="H76" s="7"/>
      <c r="I76" s="7"/>
      <c r="J76" s="87"/>
      <c r="K76" s="7"/>
      <c r="L76" s="7"/>
      <c r="M76" s="7"/>
      <c r="N76" s="7"/>
    </row>
    <row r="77" spans="1:14" ht="12.75">
      <c r="A77" s="7"/>
      <c r="B77" s="7"/>
      <c r="C77" s="7"/>
      <c r="D77" s="7"/>
      <c r="E77" s="7"/>
      <c r="F77" s="7"/>
      <c r="G77" s="7"/>
      <c r="H77" s="7"/>
      <c r="I77" s="7"/>
      <c r="J77" s="87"/>
      <c r="K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7"/>
      <c r="G78" s="7"/>
      <c r="H78" s="7"/>
      <c r="I78" s="7"/>
      <c r="J78" s="87"/>
      <c r="K78" s="7"/>
      <c r="L78" s="7"/>
      <c r="M78" s="7"/>
      <c r="N78" s="7"/>
    </row>
    <row r="79" spans="1:14" ht="12.75">
      <c r="A79" s="7"/>
      <c r="B79" s="7"/>
      <c r="C79" s="7"/>
      <c r="D79" s="7"/>
      <c r="E79" s="7"/>
      <c r="F79" s="7"/>
      <c r="G79" s="7"/>
      <c r="H79" s="7"/>
      <c r="I79" s="7"/>
      <c r="J79" s="87"/>
      <c r="K79" s="7"/>
      <c r="L79" s="7"/>
      <c r="M79" s="7"/>
      <c r="N79" s="7"/>
    </row>
    <row r="80" spans="1:14" ht="12.75">
      <c r="A80" s="7"/>
      <c r="B80" s="7"/>
      <c r="C80" s="7"/>
      <c r="D80" s="7"/>
      <c r="E80" s="7"/>
      <c r="F80" s="7"/>
      <c r="G80" s="7"/>
      <c r="H80" s="7"/>
      <c r="I80" s="7"/>
      <c r="J80" s="87"/>
      <c r="K80" s="7"/>
      <c r="L80" s="7"/>
      <c r="M80" s="7"/>
      <c r="N80" s="7"/>
    </row>
    <row r="81" spans="1:14" ht="12.75">
      <c r="A81" s="7"/>
      <c r="B81" s="7"/>
      <c r="C81" s="7"/>
      <c r="D81" s="7"/>
      <c r="E81" s="7"/>
      <c r="F81" s="7"/>
      <c r="G81" s="7"/>
      <c r="H81" s="7"/>
      <c r="I81" s="7"/>
      <c r="J81" s="87"/>
      <c r="K81" s="7"/>
      <c r="L81" s="7"/>
      <c r="M81" s="7"/>
      <c r="N81" s="7"/>
    </row>
    <row r="82" spans="1:14" ht="12.75">
      <c r="A82" s="7"/>
      <c r="B82" s="7"/>
      <c r="C82" s="7"/>
      <c r="D82" s="7"/>
      <c r="E82" s="7"/>
      <c r="F82" s="7"/>
      <c r="G82" s="7"/>
      <c r="H82" s="7"/>
      <c r="I82" s="7"/>
      <c r="J82" s="87"/>
      <c r="K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7"/>
      <c r="G83" s="7"/>
      <c r="H83" s="7"/>
      <c r="I83" s="7"/>
      <c r="J83" s="87"/>
      <c r="K83" s="7"/>
      <c r="L83" s="7"/>
      <c r="M83" s="7"/>
      <c r="N83" s="7"/>
    </row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J84" s="87"/>
      <c r="K84" s="7"/>
      <c r="L84" s="7"/>
      <c r="M84" s="7"/>
      <c r="N84" s="7"/>
    </row>
    <row r="85" spans="1:14" ht="12.75">
      <c r="A85" s="7"/>
      <c r="B85" s="7"/>
      <c r="C85" s="7"/>
      <c r="D85" s="7"/>
      <c r="E85" s="7"/>
      <c r="F85" s="7"/>
      <c r="G85" s="7"/>
      <c r="H85" s="7"/>
      <c r="I85" s="7"/>
      <c r="J85" s="87"/>
      <c r="K85" s="7"/>
      <c r="L85" s="7"/>
      <c r="M85" s="7"/>
      <c r="N85" s="7"/>
    </row>
    <row r="86" spans="1:14" ht="12.75">
      <c r="A86" s="7"/>
      <c r="B86" s="7"/>
      <c r="C86" s="7"/>
      <c r="D86" s="7"/>
      <c r="E86" s="7"/>
      <c r="F86" s="7"/>
      <c r="G86" s="7"/>
      <c r="H86" s="7"/>
      <c r="I86" s="7"/>
      <c r="J86" s="87"/>
      <c r="K86" s="7"/>
      <c r="L86" s="7"/>
      <c r="M86" s="7"/>
      <c r="N86" s="7"/>
    </row>
    <row r="87" spans="1:14" ht="12.75">
      <c r="A87" s="7"/>
      <c r="B87" s="7"/>
      <c r="C87" s="7"/>
      <c r="D87" s="7"/>
      <c r="E87" s="7"/>
      <c r="F87" s="7"/>
      <c r="G87" s="7"/>
      <c r="H87" s="7"/>
      <c r="I87" s="7"/>
      <c r="J87" s="87"/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87"/>
      <c r="K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7"/>
      <c r="G89" s="7"/>
      <c r="H89" s="7"/>
      <c r="I89" s="7"/>
      <c r="J89" s="8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87"/>
      <c r="K90" s="7"/>
      <c r="L90" s="7"/>
      <c r="M90" s="7"/>
      <c r="N90" s="7"/>
    </row>
    <row r="91" spans="1:14" ht="12.75">
      <c r="A91" s="7"/>
      <c r="B91" s="7"/>
      <c r="C91" s="7"/>
      <c r="D91" s="7"/>
      <c r="E91" s="7"/>
      <c r="F91" s="7"/>
      <c r="G91" s="7"/>
      <c r="H91" s="7"/>
      <c r="I91" s="7"/>
      <c r="J91" s="87"/>
      <c r="K91" s="7"/>
      <c r="L91" s="7"/>
      <c r="M91" s="7"/>
      <c r="N91" s="7"/>
    </row>
    <row r="92" spans="1:14" ht="12.75">
      <c r="A92" s="7"/>
      <c r="B92" s="7"/>
      <c r="C92" s="7"/>
      <c r="D92" s="7"/>
      <c r="E92" s="7"/>
      <c r="F92" s="7"/>
      <c r="G92" s="7"/>
      <c r="H92" s="7"/>
      <c r="I92" s="7"/>
      <c r="J92" s="8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8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8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8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8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8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8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8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8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8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8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87"/>
      <c r="K103" s="7"/>
      <c r="L103" s="7"/>
      <c r="M103" s="7"/>
      <c r="N103" s="7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87"/>
      <c r="K104" s="7"/>
      <c r="L104" s="7"/>
      <c r="M104" s="7"/>
      <c r="N104" s="7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87"/>
      <c r="K105" s="7"/>
      <c r="L105" s="7"/>
      <c r="M105" s="7"/>
      <c r="N105" s="7"/>
    </row>
    <row r="106" spans="1:14" ht="12.75">
      <c r="A106" s="7"/>
      <c r="B106" s="7"/>
      <c r="C106" s="7"/>
      <c r="D106" s="7"/>
      <c r="E106" s="7"/>
      <c r="F106" s="7"/>
      <c r="G106" s="7"/>
      <c r="H106" s="7"/>
      <c r="I106" s="7"/>
      <c r="J106" s="87"/>
      <c r="K106" s="7"/>
      <c r="L106" s="7"/>
      <c r="M106" s="7"/>
      <c r="N106" s="7"/>
    </row>
    <row r="107" spans="1:14" ht="12.75">
      <c r="A107" s="7"/>
      <c r="B107" s="7"/>
      <c r="C107" s="7"/>
      <c r="D107" s="7"/>
      <c r="E107" s="7"/>
      <c r="F107" s="7"/>
      <c r="G107" s="7"/>
      <c r="H107" s="7"/>
      <c r="I107" s="7"/>
      <c r="J107" s="87"/>
      <c r="K107" s="7"/>
      <c r="L107" s="7"/>
      <c r="M107" s="7"/>
      <c r="N107" s="7"/>
    </row>
    <row r="108" spans="1:14" ht="12.75">
      <c r="A108" s="7"/>
      <c r="B108" s="7"/>
      <c r="C108" s="7"/>
      <c r="D108" s="7"/>
      <c r="E108" s="7"/>
      <c r="F108" s="7"/>
      <c r="G108" s="7"/>
      <c r="H108" s="7"/>
      <c r="I108" s="7"/>
      <c r="J108" s="87"/>
      <c r="K108" s="7"/>
      <c r="L108" s="7"/>
      <c r="M108" s="7"/>
      <c r="N108" s="7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87"/>
      <c r="K109" s="7"/>
      <c r="L109" s="7"/>
      <c r="M109" s="7"/>
      <c r="N109" s="7"/>
    </row>
    <row r="110" spans="1:14" ht="12.75">
      <c r="A110" s="7"/>
      <c r="B110" s="7"/>
      <c r="C110" s="7"/>
      <c r="D110" s="7"/>
      <c r="E110" s="7"/>
      <c r="F110" s="7"/>
      <c r="G110" s="7"/>
      <c r="H110" s="7"/>
      <c r="I110" s="7"/>
      <c r="J110" s="87"/>
      <c r="K110" s="7"/>
      <c r="L110" s="7"/>
      <c r="M110" s="7"/>
      <c r="N110" s="7"/>
    </row>
    <row r="111" spans="1:14" ht="12.75">
      <c r="A111" s="7"/>
      <c r="B111" s="7"/>
      <c r="C111" s="7"/>
      <c r="D111" s="7"/>
      <c r="E111" s="7"/>
      <c r="F111" s="7"/>
      <c r="G111" s="7"/>
      <c r="H111" s="7"/>
      <c r="I111" s="7"/>
      <c r="J111" s="87"/>
      <c r="K111" s="7"/>
      <c r="L111" s="7"/>
      <c r="M111" s="7"/>
      <c r="N111" s="7"/>
    </row>
    <row r="112" spans="1:14" ht="12.75">
      <c r="A112" s="7"/>
      <c r="B112" s="7"/>
      <c r="C112" s="7"/>
      <c r="D112" s="7"/>
      <c r="E112" s="7"/>
      <c r="F112" s="7"/>
      <c r="G112" s="7"/>
      <c r="H112" s="7"/>
      <c r="I112" s="7"/>
      <c r="J112" s="87"/>
      <c r="K112" s="7"/>
      <c r="L112" s="7"/>
      <c r="M112" s="7"/>
      <c r="N112" s="7"/>
    </row>
    <row r="113" spans="1:14" ht="12.75">
      <c r="A113" s="7"/>
      <c r="B113" s="7"/>
      <c r="C113" s="7"/>
      <c r="D113" s="7"/>
      <c r="E113" s="7"/>
      <c r="F113" s="7"/>
      <c r="G113" s="7"/>
      <c r="H113" s="7"/>
      <c r="I113" s="7"/>
      <c r="J113" s="87"/>
      <c r="K113" s="7"/>
      <c r="L113" s="7"/>
      <c r="M113" s="7"/>
      <c r="N113" s="7"/>
    </row>
    <row r="114" spans="1:14" ht="12.75">
      <c r="A114" s="7"/>
      <c r="B114" s="7"/>
      <c r="C114" s="7"/>
      <c r="D114" s="7"/>
      <c r="E114" s="7"/>
      <c r="F114" s="7"/>
      <c r="G114" s="7"/>
      <c r="H114" s="7"/>
      <c r="I114" s="7"/>
      <c r="J114" s="87"/>
      <c r="K114" s="7"/>
      <c r="L114" s="7"/>
      <c r="M114" s="7"/>
      <c r="N114" s="7"/>
    </row>
    <row r="115" spans="1:14" ht="12.75">
      <c r="A115" s="7"/>
      <c r="B115" s="7"/>
      <c r="C115" s="7"/>
      <c r="D115" s="7"/>
      <c r="E115" s="7"/>
      <c r="F115" s="7"/>
      <c r="G115" s="7"/>
      <c r="H115" s="7"/>
      <c r="I115" s="7"/>
      <c r="J115" s="87"/>
      <c r="K115" s="7"/>
      <c r="L115" s="7"/>
      <c r="M115" s="7"/>
      <c r="N115" s="7"/>
    </row>
    <row r="116" spans="1:14" ht="12.75">
      <c r="A116" s="7"/>
      <c r="B116" s="7"/>
      <c r="C116" s="7"/>
      <c r="D116" s="7"/>
      <c r="E116" s="7"/>
      <c r="F116" s="7"/>
      <c r="G116" s="7"/>
      <c r="H116" s="7"/>
      <c r="I116" s="7"/>
      <c r="J116" s="87"/>
      <c r="K116" s="7"/>
      <c r="L116" s="7"/>
      <c r="M116" s="7"/>
      <c r="N116" s="7"/>
    </row>
    <row r="117" spans="1:14" ht="12.75">
      <c r="A117" s="7"/>
      <c r="B117" s="7"/>
      <c r="C117" s="7"/>
      <c r="D117" s="7"/>
      <c r="E117" s="7"/>
      <c r="F117" s="7"/>
      <c r="G117" s="7"/>
      <c r="H117" s="7"/>
      <c r="I117" s="7"/>
      <c r="J117" s="87"/>
      <c r="K117" s="7"/>
      <c r="L117" s="7"/>
      <c r="M117" s="7"/>
      <c r="N117" s="7"/>
    </row>
    <row r="118" spans="1:14" ht="12.75">
      <c r="A118" s="7"/>
      <c r="B118" s="7"/>
      <c r="C118" s="7"/>
      <c r="D118" s="7"/>
      <c r="E118" s="7"/>
      <c r="F118" s="7"/>
      <c r="G118" s="7"/>
      <c r="H118" s="7"/>
      <c r="I118" s="7"/>
      <c r="J118" s="87"/>
      <c r="K118" s="7"/>
      <c r="L118" s="7"/>
      <c r="M118" s="7"/>
      <c r="N118" s="7"/>
    </row>
    <row r="119" spans="1:14" ht="12.75">
      <c r="A119" s="7"/>
      <c r="B119" s="7"/>
      <c r="C119" s="7"/>
      <c r="D119" s="7"/>
      <c r="E119" s="7"/>
      <c r="F119" s="7"/>
      <c r="G119" s="7"/>
      <c r="H119" s="7"/>
      <c r="I119" s="7"/>
      <c r="J119" s="87"/>
      <c r="K119" s="7"/>
      <c r="L119" s="7"/>
      <c r="M119" s="7"/>
      <c r="N119" s="7"/>
    </row>
    <row r="120" spans="1:14" ht="12.75">
      <c r="A120" s="7"/>
      <c r="B120" s="7"/>
      <c r="C120" s="7"/>
      <c r="D120" s="7"/>
      <c r="E120" s="7"/>
      <c r="F120" s="7"/>
      <c r="G120" s="7"/>
      <c r="H120" s="7"/>
      <c r="I120" s="7"/>
      <c r="J120" s="87"/>
      <c r="K120" s="7"/>
      <c r="L120" s="7"/>
      <c r="M120" s="7"/>
      <c r="N120" s="7"/>
    </row>
    <row r="121" spans="1:14" ht="12.75">
      <c r="A121" s="7"/>
      <c r="B121" s="7"/>
      <c r="C121" s="7"/>
      <c r="D121" s="7"/>
      <c r="E121" s="7"/>
      <c r="F121" s="7"/>
      <c r="G121" s="7"/>
      <c r="H121" s="7"/>
      <c r="I121" s="7"/>
      <c r="J121" s="87"/>
      <c r="K121" s="7"/>
      <c r="L121" s="7"/>
      <c r="M121" s="7"/>
      <c r="N121" s="7"/>
    </row>
    <row r="122" spans="1:14" ht="12.75">
      <c r="A122" s="7"/>
      <c r="B122" s="7"/>
      <c r="C122" s="7"/>
      <c r="D122" s="7"/>
      <c r="E122" s="7"/>
      <c r="F122" s="7"/>
      <c r="G122" s="7"/>
      <c r="H122" s="7"/>
      <c r="I122" s="7"/>
      <c r="J122" s="87"/>
      <c r="K122" s="7"/>
      <c r="L122" s="7"/>
      <c r="M122" s="7"/>
      <c r="N122" s="7"/>
    </row>
    <row r="123" spans="1:14" ht="12.75">
      <c r="A123" s="7"/>
      <c r="B123" s="7"/>
      <c r="C123" s="7"/>
      <c r="D123" s="7"/>
      <c r="E123" s="7"/>
      <c r="F123" s="7"/>
      <c r="G123" s="7"/>
      <c r="H123" s="7"/>
      <c r="I123" s="7"/>
      <c r="J123" s="87"/>
      <c r="K123" s="7"/>
      <c r="L123" s="7"/>
      <c r="M123" s="7"/>
      <c r="N123" s="7"/>
    </row>
    <row r="124" spans="1:14" ht="12.75">
      <c r="A124" s="7"/>
      <c r="B124" s="7"/>
      <c r="C124" s="7"/>
      <c r="D124" s="7"/>
      <c r="E124" s="7"/>
      <c r="F124" s="7"/>
      <c r="G124" s="7"/>
      <c r="H124" s="7"/>
      <c r="I124" s="7"/>
      <c r="J124" s="87"/>
      <c r="K124" s="7"/>
      <c r="L124" s="7"/>
      <c r="M124" s="7"/>
      <c r="N124" s="7"/>
    </row>
    <row r="125" spans="1:14" ht="12.75">
      <c r="A125" s="7"/>
      <c r="B125" s="7"/>
      <c r="C125" s="7"/>
      <c r="D125" s="7"/>
      <c r="E125" s="7"/>
      <c r="F125" s="7"/>
      <c r="G125" s="7"/>
      <c r="H125" s="7"/>
      <c r="I125" s="7"/>
      <c r="J125" s="87"/>
      <c r="K125" s="7"/>
      <c r="L125" s="7"/>
      <c r="M125" s="7"/>
      <c r="N125" s="7"/>
    </row>
    <row r="126" spans="1:14" ht="12.75">
      <c r="A126" s="7"/>
      <c r="B126" s="7"/>
      <c r="C126" s="7"/>
      <c r="D126" s="7"/>
      <c r="E126" s="7"/>
      <c r="F126" s="7"/>
      <c r="G126" s="7"/>
      <c r="H126" s="7"/>
      <c r="I126" s="7"/>
      <c r="J126" s="87"/>
      <c r="K126" s="7"/>
      <c r="L126" s="7"/>
      <c r="M126" s="7"/>
      <c r="N126" s="7"/>
    </row>
    <row r="127" spans="1:14" ht="12.75">
      <c r="A127" s="7"/>
      <c r="B127" s="7"/>
      <c r="C127" s="7"/>
      <c r="D127" s="7"/>
      <c r="E127" s="7"/>
      <c r="F127" s="7"/>
      <c r="G127" s="7"/>
      <c r="H127" s="7"/>
      <c r="I127" s="7"/>
      <c r="J127" s="87"/>
      <c r="K127" s="7"/>
      <c r="L127" s="7"/>
      <c r="M127" s="7"/>
      <c r="N127" s="7"/>
    </row>
    <row r="128" spans="1:14" ht="12.75">
      <c r="A128" s="7"/>
      <c r="B128" s="7"/>
      <c r="C128" s="7"/>
      <c r="D128" s="7"/>
      <c r="E128" s="7"/>
      <c r="F128" s="7"/>
      <c r="G128" s="7"/>
      <c r="H128" s="7"/>
      <c r="I128" s="7"/>
      <c r="J128" s="87"/>
      <c r="K128" s="7"/>
      <c r="L128" s="7"/>
      <c r="M128" s="7"/>
      <c r="N128" s="7"/>
    </row>
    <row r="129" spans="1:14" ht="12.75">
      <c r="A129" s="7"/>
      <c r="B129" s="7"/>
      <c r="C129" s="7"/>
      <c r="D129" s="7"/>
      <c r="E129" s="7"/>
      <c r="F129" s="7"/>
      <c r="G129" s="7"/>
      <c r="H129" s="7"/>
      <c r="I129" s="7"/>
      <c r="J129" s="87"/>
      <c r="K129" s="7"/>
      <c r="L129" s="7"/>
      <c r="M129" s="7"/>
      <c r="N129" s="7"/>
    </row>
    <row r="130" spans="1:14" ht="12.75">
      <c r="A130" s="7"/>
      <c r="B130" s="7"/>
      <c r="C130" s="7"/>
      <c r="D130" s="7"/>
      <c r="E130" s="7"/>
      <c r="F130" s="7"/>
      <c r="G130" s="7"/>
      <c r="H130" s="7"/>
      <c r="I130" s="7"/>
      <c r="J130" s="87"/>
      <c r="K130" s="7"/>
      <c r="L130" s="7"/>
      <c r="M130" s="7"/>
      <c r="N130" s="7"/>
    </row>
    <row r="131" spans="1:14" ht="12.75">
      <c r="A131" s="7"/>
      <c r="B131" s="7"/>
      <c r="C131" s="7"/>
      <c r="D131" s="7"/>
      <c r="E131" s="7"/>
      <c r="F131" s="7"/>
      <c r="G131" s="7"/>
      <c r="H131" s="7"/>
      <c r="I131" s="7"/>
      <c r="J131" s="87"/>
      <c r="K131" s="7"/>
      <c r="L131" s="7"/>
      <c r="M131" s="7"/>
      <c r="N131" s="7"/>
    </row>
    <row r="132" spans="1:14" ht="12.75">
      <c r="A132" s="7"/>
      <c r="B132" s="7"/>
      <c r="C132" s="7"/>
      <c r="D132" s="7"/>
      <c r="E132" s="7"/>
      <c r="F132" s="7"/>
      <c r="G132" s="7"/>
      <c r="H132" s="7"/>
      <c r="I132" s="7"/>
      <c r="J132" s="87"/>
      <c r="K132" s="7"/>
      <c r="L132" s="7"/>
      <c r="M132" s="7"/>
      <c r="N132" s="7"/>
    </row>
    <row r="133" spans="1:14" ht="12.75">
      <c r="A133" s="7"/>
      <c r="B133" s="7"/>
      <c r="C133" s="7"/>
      <c r="D133" s="7"/>
      <c r="E133" s="7"/>
      <c r="F133" s="7"/>
      <c r="G133" s="7"/>
      <c r="H133" s="7"/>
      <c r="I133" s="7"/>
      <c r="J133" s="87"/>
      <c r="K133" s="7"/>
      <c r="L133" s="7"/>
      <c r="M133" s="7"/>
      <c r="N133" s="7"/>
    </row>
    <row r="134" spans="1:14" ht="12.75">
      <c r="A134" s="7"/>
      <c r="B134" s="7"/>
      <c r="C134" s="7"/>
      <c r="D134" s="7"/>
      <c r="E134" s="7"/>
      <c r="F134" s="7"/>
      <c r="G134" s="7"/>
      <c r="H134" s="7"/>
      <c r="I134" s="7"/>
      <c r="J134" s="87"/>
      <c r="K134" s="7"/>
      <c r="L134" s="7"/>
      <c r="M134" s="7"/>
      <c r="N134" s="7"/>
    </row>
    <row r="135" spans="1:14" ht="12.75">
      <c r="A135" s="7"/>
      <c r="B135" s="7"/>
      <c r="C135" s="7"/>
      <c r="D135" s="7"/>
      <c r="E135" s="7"/>
      <c r="F135" s="7"/>
      <c r="G135" s="7"/>
      <c r="H135" s="7"/>
      <c r="I135" s="7"/>
      <c r="J135" s="87"/>
      <c r="K135" s="7"/>
      <c r="L135" s="7"/>
      <c r="M135" s="7"/>
      <c r="N135" s="7"/>
    </row>
    <row r="136" spans="1:14" ht="12.75">
      <c r="A136" s="7"/>
      <c r="B136" s="7"/>
      <c r="C136" s="7"/>
      <c r="D136" s="7"/>
      <c r="E136" s="7"/>
      <c r="F136" s="7"/>
      <c r="G136" s="7"/>
      <c r="H136" s="7"/>
      <c r="I136" s="7"/>
      <c r="J136" s="87"/>
      <c r="K136" s="7"/>
      <c r="L136" s="7"/>
      <c r="M136" s="7"/>
      <c r="N136" s="7"/>
    </row>
    <row r="137" spans="1:14" ht="12.75">
      <c r="A137" s="7"/>
      <c r="B137" s="7"/>
      <c r="C137" s="7"/>
      <c r="D137" s="7"/>
      <c r="E137" s="7"/>
      <c r="F137" s="7"/>
      <c r="G137" s="7"/>
      <c r="H137" s="7"/>
      <c r="I137" s="7"/>
      <c r="J137" s="87"/>
      <c r="K137" s="7"/>
      <c r="L137" s="7"/>
      <c r="M137" s="7"/>
      <c r="N137" s="7"/>
    </row>
    <row r="138" spans="1:14" ht="12.75">
      <c r="A138" s="7"/>
      <c r="B138" s="7"/>
      <c r="C138" s="7"/>
      <c r="D138" s="7"/>
      <c r="E138" s="7"/>
      <c r="F138" s="7"/>
      <c r="G138" s="7"/>
      <c r="H138" s="7"/>
      <c r="I138" s="7"/>
      <c r="J138" s="87"/>
      <c r="K138" s="7"/>
      <c r="L138" s="7"/>
      <c r="M138" s="7"/>
      <c r="N138" s="7"/>
    </row>
    <row r="139" spans="1:14" ht="12.75">
      <c r="A139" s="7"/>
      <c r="B139" s="7"/>
      <c r="C139" s="7"/>
      <c r="D139" s="7"/>
      <c r="E139" s="7"/>
      <c r="F139" s="7"/>
      <c r="G139" s="7"/>
      <c r="H139" s="7"/>
      <c r="I139" s="7"/>
      <c r="J139" s="87"/>
      <c r="K139" s="7"/>
      <c r="L139" s="7"/>
      <c r="M139" s="7"/>
      <c r="N139" s="7"/>
    </row>
    <row r="140" spans="1:14" ht="12.75">
      <c r="A140" s="7"/>
      <c r="B140" s="7"/>
      <c r="C140" s="7"/>
      <c r="D140" s="7"/>
      <c r="E140" s="7"/>
      <c r="F140" s="7"/>
      <c r="G140" s="7"/>
      <c r="H140" s="7"/>
      <c r="I140" s="7"/>
      <c r="J140" s="87"/>
      <c r="K140" s="7"/>
      <c r="L140" s="7"/>
      <c r="M140" s="7"/>
      <c r="N140" s="7"/>
    </row>
    <row r="141" spans="1:14" ht="12.75">
      <c r="A141" s="7"/>
      <c r="B141" s="7"/>
      <c r="C141" s="7"/>
      <c r="D141" s="7"/>
      <c r="E141" s="7"/>
      <c r="F141" s="7"/>
      <c r="G141" s="7"/>
      <c r="H141" s="7"/>
      <c r="I141" s="7"/>
      <c r="J141" s="87"/>
      <c r="K141" s="7"/>
      <c r="L141" s="7"/>
      <c r="M141" s="7"/>
      <c r="N141" s="7"/>
    </row>
    <row r="142" spans="1:14" ht="12.75">
      <c r="A142" s="7"/>
      <c r="B142" s="7"/>
      <c r="C142" s="7"/>
      <c r="D142" s="7"/>
      <c r="E142" s="7"/>
      <c r="F142" s="7"/>
      <c r="G142" s="7"/>
      <c r="H142" s="7"/>
      <c r="I142" s="7"/>
      <c r="J142" s="87"/>
      <c r="K142" s="7"/>
      <c r="L142" s="7"/>
      <c r="M142" s="7"/>
      <c r="N142" s="7"/>
    </row>
    <row r="143" spans="1:14" ht="12.75">
      <c r="A143" s="7"/>
      <c r="B143" s="7"/>
      <c r="C143" s="7"/>
      <c r="D143" s="7"/>
      <c r="E143" s="7"/>
      <c r="F143" s="7"/>
      <c r="G143" s="7"/>
      <c r="H143" s="7"/>
      <c r="I143" s="7"/>
      <c r="J143" s="87"/>
      <c r="K143" s="7"/>
      <c r="L143" s="7"/>
      <c r="M143" s="7"/>
      <c r="N143" s="7"/>
    </row>
    <row r="144" spans="1:14" ht="12.75">
      <c r="A144" s="7"/>
      <c r="B144" s="7"/>
      <c r="C144" s="7"/>
      <c r="D144" s="7"/>
      <c r="E144" s="7"/>
      <c r="F144" s="7"/>
      <c r="G144" s="7"/>
      <c r="H144" s="7"/>
      <c r="I144" s="7"/>
      <c r="J144" s="87"/>
      <c r="K144" s="7"/>
      <c r="L144" s="7"/>
      <c r="M144" s="7"/>
      <c r="N144" s="7"/>
    </row>
    <row r="145" spans="1:14" ht="12.75">
      <c r="A145" s="7"/>
      <c r="B145" s="7"/>
      <c r="C145" s="7"/>
      <c r="D145" s="7"/>
      <c r="E145" s="7"/>
      <c r="F145" s="7"/>
      <c r="G145" s="7"/>
      <c r="H145" s="7"/>
      <c r="I145" s="7"/>
      <c r="J145" s="87"/>
      <c r="K145" s="7"/>
      <c r="L145" s="7"/>
      <c r="M145" s="7"/>
      <c r="N145" s="7"/>
    </row>
    <row r="146" spans="1:14" ht="12.75">
      <c r="A146" s="7"/>
      <c r="B146" s="7"/>
      <c r="C146" s="7"/>
      <c r="D146" s="7"/>
      <c r="E146" s="7"/>
      <c r="F146" s="7"/>
      <c r="G146" s="7"/>
      <c r="H146" s="7"/>
      <c r="I146" s="7"/>
      <c r="J146" s="87"/>
      <c r="K146" s="7"/>
      <c r="L146" s="7"/>
      <c r="M146" s="7"/>
      <c r="N146" s="7"/>
    </row>
    <row r="147" spans="1:14" ht="12.75">
      <c r="A147" s="7"/>
      <c r="B147" s="7"/>
      <c r="C147" s="7"/>
      <c r="D147" s="7"/>
      <c r="E147" s="7"/>
      <c r="F147" s="7"/>
      <c r="G147" s="7"/>
      <c r="H147" s="7"/>
      <c r="I147" s="7"/>
      <c r="J147" s="87"/>
      <c r="K147" s="7"/>
      <c r="L147" s="7"/>
      <c r="M147" s="7"/>
      <c r="N147" s="7"/>
    </row>
    <row r="148" spans="1:14" ht="12.75">
      <c r="A148" s="7"/>
      <c r="B148" s="7"/>
      <c r="C148" s="7"/>
      <c r="D148" s="7"/>
      <c r="E148" s="7"/>
      <c r="F148" s="7"/>
      <c r="G148" s="7"/>
      <c r="H148" s="7"/>
      <c r="I148" s="7"/>
      <c r="J148" s="87"/>
      <c r="K148" s="7"/>
      <c r="L148" s="7"/>
      <c r="M148" s="7"/>
      <c r="N148" s="7"/>
    </row>
    <row r="149" spans="1:14" ht="12.75">
      <c r="A149" s="7"/>
      <c r="B149" s="7"/>
      <c r="C149" s="7"/>
      <c r="D149" s="7"/>
      <c r="E149" s="7"/>
      <c r="F149" s="7"/>
      <c r="G149" s="7"/>
      <c r="H149" s="7"/>
      <c r="I149" s="7"/>
      <c r="J149" s="87"/>
      <c r="K149" s="7"/>
      <c r="L149" s="7"/>
      <c r="M149" s="7"/>
      <c r="N149" s="7"/>
    </row>
    <row r="150" spans="1:14" ht="12.75">
      <c r="A150" s="7"/>
      <c r="B150" s="7"/>
      <c r="C150" s="7"/>
      <c r="D150" s="7"/>
      <c r="E150" s="7"/>
      <c r="F150" s="7"/>
      <c r="G150" s="7"/>
      <c r="H150" s="7"/>
      <c r="I150" s="7"/>
      <c r="J150" s="87"/>
      <c r="K150" s="7"/>
      <c r="L150" s="7"/>
      <c r="M150" s="7"/>
      <c r="N150" s="7"/>
    </row>
    <row r="151" spans="1:14" ht="12.75">
      <c r="A151" s="7"/>
      <c r="B151" s="7"/>
      <c r="C151" s="7"/>
      <c r="D151" s="7"/>
      <c r="E151" s="7"/>
      <c r="F151" s="7"/>
      <c r="G151" s="7"/>
      <c r="H151" s="7"/>
      <c r="I151" s="7"/>
      <c r="J151" s="87"/>
      <c r="K151" s="7"/>
      <c r="L151" s="7"/>
      <c r="M151" s="7"/>
      <c r="N151" s="7"/>
    </row>
    <row r="152" spans="1:14" ht="12.75">
      <c r="A152" s="7"/>
      <c r="B152" s="7"/>
      <c r="C152" s="7"/>
      <c r="D152" s="7"/>
      <c r="E152" s="7"/>
      <c r="F152" s="7"/>
      <c r="G152" s="7"/>
      <c r="H152" s="7"/>
      <c r="I152" s="7"/>
      <c r="J152" s="87"/>
      <c r="K152" s="7"/>
      <c r="L152" s="7"/>
      <c r="M152" s="7"/>
      <c r="N152" s="7"/>
    </row>
    <row r="153" spans="1:14" ht="12.75">
      <c r="A153" s="7"/>
      <c r="B153" s="7"/>
      <c r="C153" s="7"/>
      <c r="D153" s="7"/>
      <c r="E153" s="7"/>
      <c r="F153" s="7"/>
      <c r="G153" s="7"/>
      <c r="H153" s="7"/>
      <c r="I153" s="7"/>
      <c r="J153" s="87"/>
      <c r="K153" s="7"/>
      <c r="L153" s="7"/>
      <c r="M153" s="7"/>
      <c r="N153" s="7"/>
    </row>
    <row r="154" spans="1:14" ht="12.75">
      <c r="A154" s="7"/>
      <c r="B154" s="7"/>
      <c r="C154" s="7"/>
      <c r="D154" s="7"/>
      <c r="E154" s="7"/>
      <c r="F154" s="7"/>
      <c r="G154" s="7"/>
      <c r="H154" s="7"/>
      <c r="I154" s="7"/>
      <c r="J154" s="87"/>
      <c r="K154" s="7"/>
      <c r="L154" s="7"/>
      <c r="M154" s="7"/>
      <c r="N154" s="7"/>
    </row>
    <row r="155" spans="1:14" ht="12.75">
      <c r="A155" s="7"/>
      <c r="B155" s="7"/>
      <c r="C155" s="7"/>
      <c r="D155" s="7"/>
      <c r="E155" s="7"/>
      <c r="F155" s="7"/>
      <c r="G155" s="7"/>
      <c r="H155" s="7"/>
      <c r="I155" s="7"/>
      <c r="J155" s="87"/>
      <c r="K155" s="7"/>
      <c r="L155" s="7"/>
      <c r="M155" s="7"/>
      <c r="N155" s="7"/>
    </row>
    <row r="156" spans="1:14" ht="12.75">
      <c r="A156" s="7"/>
      <c r="B156" s="7"/>
      <c r="C156" s="7"/>
      <c r="D156" s="7"/>
      <c r="E156" s="7"/>
      <c r="F156" s="7"/>
      <c r="G156" s="7"/>
      <c r="H156" s="7"/>
      <c r="I156" s="7"/>
      <c r="J156" s="87"/>
      <c r="K156" s="7"/>
      <c r="L156" s="7"/>
      <c r="M156" s="7"/>
      <c r="N156" s="7"/>
    </row>
    <row r="157" spans="1:14" ht="12.75">
      <c r="A157" s="7"/>
      <c r="B157" s="7"/>
      <c r="C157" s="7"/>
      <c r="D157" s="7"/>
      <c r="E157" s="7"/>
      <c r="F157" s="7"/>
      <c r="G157" s="7"/>
      <c r="H157" s="7"/>
      <c r="I157" s="7"/>
      <c r="J157" s="87"/>
      <c r="K157" s="7"/>
      <c r="L157" s="7"/>
      <c r="M157" s="7"/>
      <c r="N157" s="7"/>
    </row>
    <row r="158" spans="1:14" ht="12.75">
      <c r="A158" s="7"/>
      <c r="B158" s="7"/>
      <c r="C158" s="7"/>
      <c r="D158" s="7"/>
      <c r="E158" s="7"/>
      <c r="F158" s="7"/>
      <c r="G158" s="7"/>
      <c r="H158" s="7"/>
      <c r="I158" s="7"/>
      <c r="J158" s="87"/>
      <c r="K158" s="7"/>
      <c r="L158" s="7"/>
      <c r="M158" s="7"/>
      <c r="N158" s="7"/>
    </row>
    <row r="159" spans="1:14" ht="12.75">
      <c r="A159" s="7"/>
      <c r="B159" s="7"/>
      <c r="C159" s="7"/>
      <c r="D159" s="7"/>
      <c r="E159" s="7"/>
      <c r="F159" s="7"/>
      <c r="G159" s="7"/>
      <c r="H159" s="7"/>
      <c r="I159" s="7"/>
      <c r="J159" s="87"/>
      <c r="K159" s="7"/>
      <c r="L159" s="7"/>
      <c r="M159" s="7"/>
      <c r="N159" s="7"/>
    </row>
    <row r="160" spans="1:14" ht="12.75">
      <c r="A160" s="7"/>
      <c r="B160" s="7"/>
      <c r="C160" s="7"/>
      <c r="D160" s="7"/>
      <c r="E160" s="7"/>
      <c r="F160" s="7"/>
      <c r="G160" s="7"/>
      <c r="H160" s="7"/>
      <c r="I160" s="7"/>
      <c r="J160" s="87"/>
      <c r="K160" s="7"/>
      <c r="L160" s="7"/>
      <c r="M160" s="7"/>
      <c r="N160" s="7"/>
    </row>
    <row r="161" spans="1:14" ht="12.75">
      <c r="A161" s="7"/>
      <c r="B161" s="7"/>
      <c r="C161" s="7"/>
      <c r="D161" s="7"/>
      <c r="E161" s="7"/>
      <c r="F161" s="7"/>
      <c r="G161" s="7"/>
      <c r="H161" s="7"/>
      <c r="I161" s="7"/>
      <c r="J161" s="87"/>
      <c r="K161" s="7"/>
      <c r="L161" s="7"/>
      <c r="M161" s="7"/>
      <c r="N161" s="7"/>
    </row>
    <row r="162" spans="1:14" ht="12.75">
      <c r="A162" s="7"/>
      <c r="B162" s="7"/>
      <c r="C162" s="7"/>
      <c r="D162" s="7"/>
      <c r="E162" s="7"/>
      <c r="F162" s="7"/>
      <c r="G162" s="7"/>
      <c r="H162" s="7"/>
      <c r="I162" s="7"/>
      <c r="J162" s="87"/>
      <c r="K162" s="7"/>
      <c r="L162" s="7"/>
      <c r="M162" s="7"/>
      <c r="N162" s="7"/>
    </row>
    <row r="163" spans="1:14" ht="12.75">
      <c r="A163" s="7"/>
      <c r="B163" s="7"/>
      <c r="C163" s="7"/>
      <c r="D163" s="7"/>
      <c r="E163" s="7"/>
      <c r="F163" s="7"/>
      <c r="G163" s="7"/>
      <c r="H163" s="7"/>
      <c r="I163" s="7"/>
      <c r="J163" s="87"/>
      <c r="K163" s="7"/>
      <c r="L163" s="7"/>
      <c r="M163" s="7"/>
      <c r="N163" s="7"/>
    </row>
    <row r="164" spans="1:14" ht="12.75">
      <c r="A164" s="7"/>
      <c r="B164" s="7"/>
      <c r="C164" s="7"/>
      <c r="D164" s="7"/>
      <c r="E164" s="7"/>
      <c r="F164" s="7"/>
      <c r="G164" s="7"/>
      <c r="H164" s="7"/>
      <c r="I164" s="7"/>
      <c r="J164" s="87"/>
      <c r="K164" s="7"/>
      <c r="L164" s="7"/>
      <c r="M164" s="7"/>
      <c r="N164" s="7"/>
    </row>
    <row r="165" spans="1:14" ht="12.75">
      <c r="A165" s="7"/>
      <c r="B165" s="7"/>
      <c r="C165" s="7"/>
      <c r="D165" s="7"/>
      <c r="E165" s="7"/>
      <c r="F165" s="7"/>
      <c r="G165" s="7"/>
      <c r="H165" s="7"/>
      <c r="I165" s="7"/>
      <c r="J165" s="87"/>
      <c r="K165" s="7"/>
      <c r="L165" s="7"/>
      <c r="M165" s="7"/>
      <c r="N165" s="7"/>
    </row>
    <row r="166" spans="1:14" ht="12.75">
      <c r="A166" s="7"/>
      <c r="B166" s="7"/>
      <c r="C166" s="7"/>
      <c r="D166" s="7"/>
      <c r="E166" s="7"/>
      <c r="F166" s="7"/>
      <c r="G166" s="7"/>
      <c r="H166" s="7"/>
      <c r="I166" s="7"/>
      <c r="J166" s="87"/>
      <c r="K166" s="7"/>
      <c r="L166" s="7"/>
      <c r="M166" s="7"/>
      <c r="N166" s="7"/>
    </row>
    <row r="167" spans="1:14" ht="12.75">
      <c r="A167" s="7"/>
      <c r="B167" s="7"/>
      <c r="C167" s="7"/>
      <c r="D167" s="7"/>
      <c r="E167" s="7"/>
      <c r="F167" s="7"/>
      <c r="G167" s="7"/>
      <c r="H167" s="7"/>
      <c r="I167" s="7"/>
      <c r="J167" s="87"/>
      <c r="K167" s="7"/>
      <c r="L167" s="7"/>
      <c r="M167" s="7"/>
      <c r="N167" s="7"/>
    </row>
    <row r="168" spans="1:14" ht="12.75">
      <c r="A168" s="7"/>
      <c r="B168" s="7"/>
      <c r="C168" s="7"/>
      <c r="D168" s="7"/>
      <c r="E168" s="7"/>
      <c r="F168" s="7"/>
      <c r="G168" s="7"/>
      <c r="H168" s="7"/>
      <c r="I168" s="7"/>
      <c r="J168" s="87"/>
      <c r="K168" s="7"/>
      <c r="L168" s="7"/>
      <c r="M168" s="7"/>
      <c r="N168" s="7"/>
    </row>
    <row r="169" spans="1:14" ht="12.75">
      <c r="A169" s="7"/>
      <c r="B169" s="7"/>
      <c r="C169" s="7"/>
      <c r="D169" s="7"/>
      <c r="E169" s="7"/>
      <c r="F169" s="7"/>
      <c r="G169" s="7"/>
      <c r="H169" s="7"/>
      <c r="I169" s="7"/>
      <c r="J169" s="87"/>
      <c r="K169" s="7"/>
      <c r="L169" s="7"/>
      <c r="M169" s="7"/>
      <c r="N169" s="7"/>
    </row>
    <row r="170" spans="1:14" ht="12.75">
      <c r="A170" s="7"/>
      <c r="B170" s="7"/>
      <c r="C170" s="7"/>
      <c r="D170" s="7"/>
      <c r="E170" s="7"/>
      <c r="F170" s="7"/>
      <c r="G170" s="7"/>
      <c r="H170" s="7"/>
      <c r="I170" s="7"/>
      <c r="J170" s="87"/>
      <c r="K170" s="7"/>
      <c r="L170" s="7"/>
      <c r="M170" s="7"/>
      <c r="N170" s="7"/>
    </row>
    <row r="171" spans="1:14" ht="12.75">
      <c r="A171" s="7"/>
      <c r="B171" s="7"/>
      <c r="C171" s="7"/>
      <c r="D171" s="7"/>
      <c r="E171" s="7"/>
      <c r="F171" s="7"/>
      <c r="G171" s="7"/>
      <c r="H171" s="7"/>
      <c r="I171" s="7"/>
      <c r="J171" s="87"/>
      <c r="K171" s="7"/>
      <c r="L171" s="7"/>
      <c r="M171" s="7"/>
      <c r="N171" s="7"/>
    </row>
    <row r="172" spans="1:14" ht="12.75">
      <c r="A172" s="7"/>
      <c r="B172" s="7"/>
      <c r="C172" s="7"/>
      <c r="D172" s="7"/>
      <c r="E172" s="7"/>
      <c r="F172" s="7"/>
      <c r="G172" s="7"/>
      <c r="H172" s="7"/>
      <c r="I172" s="7"/>
      <c r="J172" s="87"/>
      <c r="K172" s="7"/>
      <c r="L172" s="7"/>
      <c r="M172" s="7"/>
      <c r="N172" s="7"/>
    </row>
    <row r="173" spans="1:14" ht="12.75">
      <c r="A173" s="7"/>
      <c r="B173" s="7"/>
      <c r="C173" s="7"/>
      <c r="D173" s="7"/>
      <c r="E173" s="7"/>
      <c r="F173" s="7"/>
      <c r="G173" s="7"/>
      <c r="H173" s="7"/>
      <c r="I173" s="7"/>
      <c r="J173" s="87"/>
      <c r="K173" s="7"/>
      <c r="L173" s="7"/>
      <c r="M173" s="7"/>
      <c r="N173" s="7"/>
    </row>
    <row r="174" spans="1:14" ht="12.75">
      <c r="A174" s="7"/>
      <c r="B174" s="7"/>
      <c r="C174" s="7"/>
      <c r="D174" s="7"/>
      <c r="E174" s="7"/>
      <c r="F174" s="7"/>
      <c r="G174" s="7"/>
      <c r="H174" s="7"/>
      <c r="I174" s="7"/>
      <c r="J174" s="87"/>
      <c r="K174" s="7"/>
      <c r="L174" s="7"/>
      <c r="M174" s="7"/>
      <c r="N174" s="7"/>
    </row>
    <row r="175" spans="1:14" ht="12.75">
      <c r="A175" s="7"/>
      <c r="B175" s="7"/>
      <c r="C175" s="7"/>
      <c r="D175" s="7"/>
      <c r="E175" s="7"/>
      <c r="F175" s="7"/>
      <c r="G175" s="7"/>
      <c r="H175" s="7"/>
      <c r="I175" s="7"/>
      <c r="J175" s="87"/>
      <c r="K175" s="7"/>
      <c r="L175" s="7"/>
      <c r="M175" s="7"/>
      <c r="N175" s="7"/>
    </row>
    <row r="176" spans="1:14" ht="12.75">
      <c r="A176" s="7"/>
      <c r="B176" s="7"/>
      <c r="C176" s="7"/>
      <c r="D176" s="7"/>
      <c r="E176" s="7"/>
      <c r="F176" s="7"/>
      <c r="G176" s="7"/>
      <c r="H176" s="7"/>
      <c r="I176" s="7"/>
      <c r="J176" s="87"/>
      <c r="K176" s="7"/>
      <c r="L176" s="7"/>
      <c r="M176" s="7"/>
      <c r="N176" s="7"/>
    </row>
    <row r="177" spans="1:14" ht="12.75">
      <c r="A177" s="7"/>
      <c r="B177" s="7"/>
      <c r="C177" s="7"/>
      <c r="D177" s="7"/>
      <c r="E177" s="7"/>
      <c r="F177" s="7"/>
      <c r="G177" s="7"/>
      <c r="H177" s="7"/>
      <c r="I177" s="7"/>
      <c r="J177" s="87"/>
      <c r="K177" s="7"/>
      <c r="L177" s="7"/>
      <c r="M177" s="7"/>
      <c r="N177" s="7"/>
    </row>
    <row r="178" spans="1:14" ht="12.75">
      <c r="A178" s="7"/>
      <c r="B178" s="7"/>
      <c r="C178" s="7"/>
      <c r="D178" s="7"/>
      <c r="E178" s="7"/>
      <c r="F178" s="7"/>
      <c r="G178" s="7"/>
      <c r="H178" s="7"/>
      <c r="I178" s="7"/>
      <c r="J178" s="87"/>
      <c r="K178" s="7"/>
      <c r="L178" s="7"/>
      <c r="M178" s="7"/>
      <c r="N178" s="7"/>
    </row>
    <row r="179" spans="1:14" ht="12.75">
      <c r="A179" s="7"/>
      <c r="B179" s="7"/>
      <c r="C179" s="7"/>
      <c r="D179" s="7"/>
      <c r="E179" s="7"/>
      <c r="F179" s="7"/>
      <c r="G179" s="7"/>
      <c r="H179" s="7"/>
      <c r="I179" s="7"/>
      <c r="J179" s="87"/>
      <c r="K179" s="7"/>
      <c r="L179" s="7"/>
      <c r="M179" s="7"/>
      <c r="N179" s="7"/>
    </row>
    <row r="180" spans="1:14" ht="12.75">
      <c r="A180" s="7"/>
      <c r="B180" s="7"/>
      <c r="C180" s="7"/>
      <c r="D180" s="7"/>
      <c r="E180" s="7"/>
      <c r="F180" s="7"/>
      <c r="G180" s="7"/>
      <c r="H180" s="7"/>
      <c r="I180" s="7"/>
      <c r="J180" s="87"/>
      <c r="K180" s="7"/>
      <c r="L180" s="7"/>
      <c r="M180" s="7"/>
      <c r="N180" s="7"/>
    </row>
    <row r="181" spans="1:14" ht="12.75">
      <c r="A181" s="7"/>
      <c r="B181" s="7"/>
      <c r="C181" s="7"/>
      <c r="D181" s="7"/>
      <c r="E181" s="7"/>
      <c r="F181" s="7"/>
      <c r="G181" s="7"/>
      <c r="H181" s="7"/>
      <c r="I181" s="7"/>
      <c r="J181" s="87"/>
      <c r="K181" s="7"/>
      <c r="L181" s="7"/>
      <c r="M181" s="7"/>
      <c r="N181" s="7"/>
    </row>
    <row r="182" spans="1:14" ht="12.75">
      <c r="A182" s="7"/>
      <c r="B182" s="7"/>
      <c r="C182" s="7"/>
      <c r="D182" s="7"/>
      <c r="E182" s="7"/>
      <c r="F182" s="7"/>
      <c r="G182" s="7"/>
      <c r="H182" s="7"/>
      <c r="I182" s="7"/>
      <c r="J182" s="87"/>
      <c r="K182" s="7"/>
      <c r="L182" s="7"/>
      <c r="M182" s="7"/>
      <c r="N182" s="7"/>
    </row>
    <row r="183" spans="1:14" ht="12.75">
      <c r="A183" s="7"/>
      <c r="B183" s="7"/>
      <c r="C183" s="7"/>
      <c r="D183" s="7"/>
      <c r="E183" s="7"/>
      <c r="F183" s="7"/>
      <c r="G183" s="7"/>
      <c r="H183" s="7"/>
      <c r="I183" s="7"/>
      <c r="J183" s="87"/>
      <c r="K183" s="7"/>
      <c r="L183" s="7"/>
      <c r="M183" s="7"/>
      <c r="N183" s="7"/>
    </row>
    <row r="184" spans="1:14" ht="12.75">
      <c r="A184" s="7"/>
      <c r="B184" s="7"/>
      <c r="C184" s="7"/>
      <c r="D184" s="7"/>
      <c r="E184" s="7"/>
      <c r="F184" s="7"/>
      <c r="G184" s="7"/>
      <c r="H184" s="7"/>
      <c r="I184" s="7"/>
      <c r="J184" s="87"/>
      <c r="K184" s="7"/>
      <c r="L184" s="7"/>
      <c r="M184" s="7"/>
      <c r="N184" s="7"/>
    </row>
    <row r="185" spans="1:14" ht="12.75">
      <c r="A185" s="7"/>
      <c r="B185" s="7"/>
      <c r="C185" s="7"/>
      <c r="D185" s="7"/>
      <c r="E185" s="7"/>
      <c r="F185" s="7"/>
      <c r="G185" s="7"/>
      <c r="H185" s="7"/>
      <c r="I185" s="7"/>
      <c r="J185" s="87"/>
      <c r="K185" s="7"/>
      <c r="L185" s="7"/>
      <c r="M185" s="7"/>
      <c r="N185" s="7"/>
    </row>
    <row r="186" spans="1:14" ht="12.75">
      <c r="A186" s="7"/>
      <c r="B186" s="7"/>
      <c r="C186" s="7"/>
      <c r="D186" s="7"/>
      <c r="E186" s="7"/>
      <c r="F186" s="7"/>
      <c r="G186" s="7"/>
      <c r="H186" s="7"/>
      <c r="I186" s="7"/>
      <c r="J186" s="87"/>
      <c r="K186" s="7"/>
      <c r="L186" s="7"/>
      <c r="M186" s="7"/>
      <c r="N186" s="7"/>
    </row>
    <row r="187" spans="1:14" ht="12.75">
      <c r="A187" s="7"/>
      <c r="B187" s="7"/>
      <c r="C187" s="7"/>
      <c r="D187" s="7"/>
      <c r="E187" s="7"/>
      <c r="F187" s="7"/>
      <c r="G187" s="7"/>
      <c r="H187" s="7"/>
      <c r="I187" s="7"/>
      <c r="J187" s="87"/>
      <c r="K187" s="7"/>
      <c r="L187" s="7"/>
      <c r="M187" s="7"/>
      <c r="N187" s="7"/>
    </row>
    <row r="188" spans="1:14" ht="12.75">
      <c r="A188" s="7"/>
      <c r="B188" s="7"/>
      <c r="C188" s="7"/>
      <c r="D188" s="7"/>
      <c r="E188" s="7"/>
      <c r="F188" s="7"/>
      <c r="G188" s="7"/>
      <c r="H188" s="7"/>
      <c r="I188" s="7"/>
      <c r="J188" s="87"/>
      <c r="K188" s="7"/>
      <c r="L188" s="7"/>
      <c r="M188" s="7"/>
      <c r="N188" s="7"/>
    </row>
    <row r="189" spans="1:14" ht="12.75">
      <c r="A189" s="7"/>
      <c r="B189" s="7"/>
      <c r="C189" s="7"/>
      <c r="D189" s="7"/>
      <c r="E189" s="7"/>
      <c r="F189" s="7"/>
      <c r="G189" s="7"/>
      <c r="H189" s="7"/>
      <c r="I189" s="7"/>
      <c r="J189" s="87"/>
      <c r="K189" s="7"/>
      <c r="L189" s="7"/>
      <c r="M189" s="7"/>
      <c r="N189" s="7"/>
    </row>
    <row r="190" spans="1:14" ht="12.75">
      <c r="A190" s="7"/>
      <c r="B190" s="7"/>
      <c r="C190" s="7"/>
      <c r="D190" s="7"/>
      <c r="E190" s="7"/>
      <c r="F190" s="7"/>
      <c r="G190" s="7"/>
      <c r="H190" s="7"/>
      <c r="I190" s="7"/>
      <c r="J190" s="87"/>
      <c r="K190" s="7"/>
      <c r="L190" s="7"/>
      <c r="M190" s="7"/>
      <c r="N190" s="7"/>
    </row>
    <row r="191" spans="1:14" ht="12.75">
      <c r="A191" s="7"/>
      <c r="B191" s="7"/>
      <c r="C191" s="7"/>
      <c r="D191" s="7"/>
      <c r="E191" s="7"/>
      <c r="F191" s="7"/>
      <c r="G191" s="7"/>
      <c r="H191" s="7"/>
      <c r="I191" s="7"/>
      <c r="J191" s="87"/>
      <c r="K191" s="7"/>
      <c r="L191" s="7"/>
      <c r="M191" s="7"/>
      <c r="N191" s="7"/>
    </row>
    <row r="192" spans="1:14" ht="12.75">
      <c r="A192" s="7"/>
      <c r="B192" s="7"/>
      <c r="C192" s="7"/>
      <c r="D192" s="7"/>
      <c r="E192" s="7"/>
      <c r="F192" s="7"/>
      <c r="G192" s="7"/>
      <c r="H192" s="7"/>
      <c r="I192" s="7"/>
      <c r="J192" s="87"/>
      <c r="K192" s="7"/>
      <c r="L192" s="7"/>
      <c r="M192" s="7"/>
      <c r="N192" s="7"/>
    </row>
    <row r="193" spans="1:14" ht="12.75">
      <c r="A193" s="7"/>
      <c r="B193" s="7"/>
      <c r="C193" s="7"/>
      <c r="D193" s="7"/>
      <c r="E193" s="7"/>
      <c r="F193" s="7"/>
      <c r="G193" s="7"/>
      <c r="H193" s="7"/>
      <c r="I193" s="7"/>
      <c r="J193" s="87"/>
      <c r="K193" s="7"/>
      <c r="L193" s="7"/>
      <c r="M193" s="7"/>
      <c r="N193" s="7"/>
    </row>
    <row r="194" spans="1:14" ht="12.75">
      <c r="A194" s="7"/>
      <c r="B194" s="7"/>
      <c r="C194" s="7"/>
      <c r="D194" s="7"/>
      <c r="E194" s="7"/>
      <c r="F194" s="7"/>
      <c r="G194" s="7"/>
      <c r="H194" s="7"/>
      <c r="I194" s="7"/>
      <c r="J194" s="87"/>
      <c r="K194" s="7"/>
      <c r="L194" s="7"/>
      <c r="M194" s="7"/>
      <c r="N194" s="7"/>
    </row>
    <row r="195" spans="1:14" ht="12.75">
      <c r="A195" s="7"/>
      <c r="B195" s="7"/>
      <c r="C195" s="7"/>
      <c r="D195" s="7"/>
      <c r="E195" s="7"/>
      <c r="F195" s="7"/>
      <c r="G195" s="7"/>
      <c r="H195" s="7"/>
      <c r="I195" s="7"/>
      <c r="J195" s="87"/>
      <c r="K195" s="7"/>
      <c r="L195" s="7"/>
      <c r="M195" s="7"/>
      <c r="N195" s="7"/>
    </row>
    <row r="196" spans="1:14" ht="12.75">
      <c r="A196" s="7"/>
      <c r="B196" s="7"/>
      <c r="C196" s="7"/>
      <c r="D196" s="7"/>
      <c r="E196" s="7"/>
      <c r="F196" s="7"/>
      <c r="G196" s="7"/>
      <c r="H196" s="7"/>
      <c r="I196" s="7"/>
      <c r="J196" s="87"/>
      <c r="K196" s="7"/>
      <c r="L196" s="7"/>
      <c r="M196" s="7"/>
      <c r="N196" s="7"/>
    </row>
    <row r="197" spans="1:14" ht="12.75">
      <c r="A197" s="7"/>
      <c r="B197" s="7"/>
      <c r="C197" s="7"/>
      <c r="D197" s="7"/>
      <c r="E197" s="7"/>
      <c r="F197" s="7"/>
      <c r="G197" s="7"/>
      <c r="H197" s="7"/>
      <c r="I197" s="7"/>
      <c r="J197" s="87"/>
      <c r="K197" s="7"/>
      <c r="L197" s="7"/>
      <c r="M197" s="7"/>
      <c r="N197" s="7"/>
    </row>
    <row r="198" spans="1:14" ht="12.75">
      <c r="A198" s="7"/>
      <c r="B198" s="7"/>
      <c r="C198" s="7"/>
      <c r="D198" s="7"/>
      <c r="E198" s="7"/>
      <c r="F198" s="7"/>
      <c r="G198" s="7"/>
      <c r="H198" s="7"/>
      <c r="I198" s="7"/>
      <c r="J198" s="87"/>
      <c r="K198" s="7"/>
      <c r="L198" s="7"/>
      <c r="M198" s="7"/>
      <c r="N198" s="7"/>
    </row>
    <row r="199" spans="1:14" ht="12.75">
      <c r="A199" s="7"/>
      <c r="B199" s="7"/>
      <c r="C199" s="7"/>
      <c r="D199" s="7"/>
      <c r="E199" s="7"/>
      <c r="F199" s="7"/>
      <c r="G199" s="7"/>
      <c r="H199" s="7"/>
      <c r="I199" s="7"/>
      <c r="J199" s="87"/>
      <c r="K199" s="7"/>
      <c r="L199" s="7"/>
      <c r="M199" s="7"/>
      <c r="N199" s="7"/>
    </row>
    <row r="200" spans="1:14" ht="12.75">
      <c r="A200" s="7"/>
      <c r="B200" s="7"/>
      <c r="C200" s="7"/>
      <c r="D200" s="7"/>
      <c r="E200" s="7"/>
      <c r="F200" s="7"/>
      <c r="G200" s="7"/>
      <c r="H200" s="7"/>
      <c r="I200" s="7"/>
      <c r="J200" s="87"/>
      <c r="K200" s="7"/>
      <c r="L200" s="7"/>
      <c r="M200" s="7"/>
      <c r="N200" s="7"/>
    </row>
    <row r="201" spans="1:14" ht="12.75">
      <c r="A201" s="7"/>
      <c r="B201" s="7"/>
      <c r="C201" s="7"/>
      <c r="D201" s="7"/>
      <c r="E201" s="7"/>
      <c r="F201" s="7"/>
      <c r="G201" s="7"/>
      <c r="H201" s="7"/>
      <c r="I201" s="7"/>
      <c r="J201" s="87"/>
      <c r="K201" s="7"/>
      <c r="L201" s="7"/>
      <c r="M201" s="7"/>
      <c r="N201" s="7"/>
    </row>
    <row r="202" spans="1:14" ht="12.75">
      <c r="A202" s="7"/>
      <c r="B202" s="7"/>
      <c r="C202" s="7"/>
      <c r="D202" s="7"/>
      <c r="E202" s="7"/>
      <c r="F202" s="7"/>
      <c r="G202" s="7"/>
      <c r="H202" s="7"/>
      <c r="I202" s="7"/>
      <c r="J202" s="87"/>
      <c r="K202" s="7"/>
      <c r="L202" s="7"/>
      <c r="M202" s="7"/>
      <c r="N202" s="7"/>
    </row>
    <row r="203" spans="1:14" ht="12.75">
      <c r="A203" s="7"/>
      <c r="B203" s="7"/>
      <c r="C203" s="7"/>
      <c r="D203" s="7"/>
      <c r="E203" s="7"/>
      <c r="F203" s="7"/>
      <c r="G203" s="7"/>
      <c r="H203" s="7"/>
      <c r="I203" s="7"/>
      <c r="J203" s="87"/>
      <c r="K203" s="7"/>
      <c r="L203" s="7"/>
      <c r="M203" s="7"/>
      <c r="N203" s="7"/>
    </row>
    <row r="204" spans="1:14" ht="12.75">
      <c r="A204" s="7"/>
      <c r="B204" s="7"/>
      <c r="C204" s="7"/>
      <c r="D204" s="7"/>
      <c r="E204" s="7"/>
      <c r="F204" s="7"/>
      <c r="G204" s="7"/>
      <c r="H204" s="7"/>
      <c r="I204" s="7"/>
      <c r="J204" s="87"/>
      <c r="K204" s="7"/>
      <c r="L204" s="7"/>
      <c r="M204" s="7"/>
      <c r="N204" s="7"/>
    </row>
    <row r="205" spans="1:14" ht="12.75">
      <c r="A205" s="7"/>
      <c r="B205" s="7"/>
      <c r="C205" s="7"/>
      <c r="D205" s="7"/>
      <c r="E205" s="7"/>
      <c r="F205" s="7"/>
      <c r="G205" s="7"/>
      <c r="H205" s="7"/>
      <c r="I205" s="7"/>
      <c r="J205" s="87"/>
      <c r="K205" s="7"/>
      <c r="L205" s="7"/>
      <c r="M205" s="7"/>
      <c r="N205" s="7"/>
    </row>
    <row r="206" spans="1:14" ht="12.75">
      <c r="A206" s="7"/>
      <c r="B206" s="7"/>
      <c r="C206" s="7"/>
      <c r="D206" s="7"/>
      <c r="E206" s="7"/>
      <c r="F206" s="7"/>
      <c r="G206" s="7"/>
      <c r="H206" s="7"/>
      <c r="I206" s="7"/>
      <c r="J206" s="87"/>
      <c r="K206" s="7"/>
      <c r="L206" s="7"/>
      <c r="M206" s="7"/>
      <c r="N206" s="7"/>
    </row>
    <row r="207" spans="1:14" ht="12.75">
      <c r="A207" s="7"/>
      <c r="B207" s="7"/>
      <c r="C207" s="7"/>
      <c r="D207" s="7"/>
      <c r="E207" s="7"/>
      <c r="F207" s="7"/>
      <c r="G207" s="7"/>
      <c r="H207" s="7"/>
      <c r="I207" s="7"/>
      <c r="J207" s="87"/>
      <c r="K207" s="7"/>
      <c r="L207" s="7"/>
      <c r="M207" s="7"/>
      <c r="N207" s="7"/>
    </row>
    <row r="208" spans="1:14" ht="12.75">
      <c r="A208" s="7"/>
      <c r="B208" s="7"/>
      <c r="C208" s="7"/>
      <c r="D208" s="7"/>
      <c r="E208" s="7"/>
      <c r="F208" s="7"/>
      <c r="G208" s="7"/>
      <c r="H208" s="7"/>
      <c r="I208" s="7"/>
      <c r="J208" s="87"/>
      <c r="K208" s="7"/>
      <c r="L208" s="7"/>
      <c r="M208" s="7"/>
      <c r="N208" s="7"/>
    </row>
    <row r="209" spans="1:14" ht="12.75">
      <c r="A209" s="7"/>
      <c r="B209" s="7"/>
      <c r="C209" s="7"/>
      <c r="D209" s="7"/>
      <c r="E209" s="7"/>
      <c r="F209" s="7"/>
      <c r="G209" s="7"/>
      <c r="H209" s="7"/>
      <c r="I209" s="7"/>
      <c r="J209" s="87"/>
      <c r="K209" s="7"/>
      <c r="L209" s="7"/>
      <c r="M209" s="7"/>
      <c r="N209" s="7"/>
    </row>
    <row r="210" spans="1:14" ht="12.75">
      <c r="A210" s="7"/>
      <c r="B210" s="7"/>
      <c r="C210" s="7"/>
      <c r="D210" s="7"/>
      <c r="E210" s="7"/>
      <c r="F210" s="7"/>
      <c r="G210" s="7"/>
      <c r="H210" s="7"/>
      <c r="I210" s="7"/>
      <c r="J210" s="87"/>
      <c r="K210" s="7"/>
      <c r="L210" s="7"/>
      <c r="M210" s="7"/>
      <c r="N210" s="7"/>
    </row>
    <row r="211" spans="1:14" ht="12.75">
      <c r="A211" s="7"/>
      <c r="B211" s="7"/>
      <c r="C211" s="7"/>
      <c r="D211" s="7"/>
      <c r="E211" s="7"/>
      <c r="F211" s="7"/>
      <c r="G211" s="7"/>
      <c r="H211" s="7"/>
      <c r="I211" s="7"/>
      <c r="J211" s="87"/>
      <c r="K211" s="7"/>
      <c r="L211" s="7"/>
      <c r="M211" s="7"/>
      <c r="N211" s="7"/>
    </row>
    <row r="212" spans="1:14" ht="12.75">
      <c r="A212" s="7"/>
      <c r="B212" s="7"/>
      <c r="C212" s="7"/>
      <c r="D212" s="7"/>
      <c r="E212" s="7"/>
      <c r="F212" s="7"/>
      <c r="G212" s="7"/>
      <c r="H212" s="7"/>
      <c r="I212" s="7"/>
      <c r="J212" s="87"/>
      <c r="K212" s="7"/>
      <c r="L212" s="7"/>
      <c r="M212" s="7"/>
      <c r="N212" s="7"/>
    </row>
    <row r="213" spans="1:14" ht="12.75">
      <c r="A213" s="7"/>
      <c r="B213" s="7"/>
      <c r="C213" s="7"/>
      <c r="D213" s="7"/>
      <c r="E213" s="7"/>
      <c r="F213" s="7"/>
      <c r="G213" s="7"/>
      <c r="H213" s="7"/>
      <c r="I213" s="7"/>
      <c r="J213" s="87"/>
      <c r="K213" s="7"/>
      <c r="L213" s="7"/>
      <c r="M213" s="7"/>
      <c r="N213" s="7"/>
    </row>
    <row r="214" spans="1:14" ht="12.75">
      <c r="A214" s="7"/>
      <c r="B214" s="7"/>
      <c r="C214" s="7"/>
      <c r="D214" s="7"/>
      <c r="E214" s="7"/>
      <c r="F214" s="7"/>
      <c r="G214" s="7"/>
      <c r="H214" s="7"/>
      <c r="I214" s="7"/>
      <c r="J214" s="87"/>
      <c r="K214" s="7"/>
      <c r="L214" s="7"/>
      <c r="M214" s="7"/>
      <c r="N214" s="7"/>
    </row>
    <row r="215" spans="1:14" ht="12.75">
      <c r="A215" s="7"/>
      <c r="B215" s="7"/>
      <c r="C215" s="7"/>
      <c r="D215" s="7"/>
      <c r="E215" s="7"/>
      <c r="F215" s="7"/>
      <c r="G215" s="7"/>
      <c r="H215" s="7"/>
      <c r="I215" s="7"/>
      <c r="J215" s="87"/>
      <c r="K215" s="7"/>
      <c r="L215" s="7"/>
      <c r="M215" s="7"/>
      <c r="N215" s="7"/>
    </row>
    <row r="216" spans="1:14" ht="12.75">
      <c r="A216" s="7"/>
      <c r="B216" s="7"/>
      <c r="C216" s="7"/>
      <c r="D216" s="7"/>
      <c r="E216" s="7"/>
      <c r="F216" s="7"/>
      <c r="G216" s="7"/>
      <c r="H216" s="7"/>
      <c r="I216" s="7"/>
      <c r="J216" s="87"/>
      <c r="K216" s="7"/>
      <c r="L216" s="7"/>
      <c r="M216" s="7"/>
      <c r="N216" s="7"/>
    </row>
    <row r="217" spans="1:14" ht="12.75">
      <c r="A217" s="7"/>
      <c r="B217" s="7"/>
      <c r="C217" s="7"/>
      <c r="D217" s="7"/>
      <c r="E217" s="7"/>
      <c r="F217" s="7"/>
      <c r="G217" s="7"/>
      <c r="H217" s="7"/>
      <c r="I217" s="7"/>
      <c r="J217" s="87"/>
      <c r="K217" s="7"/>
      <c r="L217" s="7"/>
      <c r="M217" s="7"/>
      <c r="N217" s="7"/>
    </row>
    <row r="218" spans="1:14" ht="12.75">
      <c r="A218" s="7"/>
      <c r="B218" s="7"/>
      <c r="C218" s="7"/>
      <c r="D218" s="7"/>
      <c r="E218" s="7"/>
      <c r="F218" s="7"/>
      <c r="G218" s="7"/>
      <c r="H218" s="7"/>
      <c r="I218" s="7"/>
      <c r="J218" s="87"/>
      <c r="K218" s="7"/>
      <c r="L218" s="7"/>
      <c r="M218" s="7"/>
      <c r="N218" s="7"/>
    </row>
    <row r="219" spans="1:14" ht="12.75">
      <c r="A219" s="7"/>
      <c r="B219" s="7"/>
      <c r="C219" s="7"/>
      <c r="D219" s="7"/>
      <c r="E219" s="7"/>
      <c r="F219" s="7"/>
      <c r="G219" s="7"/>
      <c r="H219" s="7"/>
      <c r="I219" s="7"/>
      <c r="J219" s="87"/>
      <c r="K219" s="7"/>
      <c r="L219" s="7"/>
      <c r="M219" s="7"/>
      <c r="N219" s="7"/>
    </row>
    <row r="220" spans="1:14" ht="12.75">
      <c r="A220" s="7"/>
      <c r="B220" s="7"/>
      <c r="C220" s="7"/>
      <c r="D220" s="7"/>
      <c r="E220" s="7"/>
      <c r="F220" s="7"/>
      <c r="G220" s="7"/>
      <c r="H220" s="7"/>
      <c r="I220" s="7"/>
      <c r="J220" s="87"/>
      <c r="K220" s="7"/>
      <c r="L220" s="7"/>
      <c r="M220" s="7"/>
      <c r="N220" s="7"/>
    </row>
    <row r="221" spans="1:14" ht="12.75">
      <c r="A221" s="7"/>
      <c r="B221" s="7"/>
      <c r="C221" s="7"/>
      <c r="D221" s="7"/>
      <c r="E221" s="7"/>
      <c r="F221" s="7"/>
      <c r="G221" s="7"/>
      <c r="H221" s="7"/>
      <c r="I221" s="7"/>
      <c r="J221" s="87"/>
      <c r="K221" s="7"/>
      <c r="L221" s="7"/>
      <c r="M221" s="7"/>
      <c r="N221" s="7"/>
    </row>
    <row r="222" spans="1:14" ht="12.75">
      <c r="A222" s="7"/>
      <c r="B222" s="7"/>
      <c r="C222" s="7"/>
      <c r="D222" s="7"/>
      <c r="E222" s="7"/>
      <c r="F222" s="7"/>
      <c r="G222" s="7"/>
      <c r="H222" s="7"/>
      <c r="I222" s="7"/>
      <c r="J222" s="87"/>
      <c r="K222" s="7"/>
      <c r="L222" s="7"/>
      <c r="M222" s="7"/>
      <c r="N222" s="7"/>
    </row>
    <row r="223" spans="1:14" ht="12.75">
      <c r="A223" s="7"/>
      <c r="B223" s="7"/>
      <c r="C223" s="7"/>
      <c r="D223" s="7"/>
      <c r="E223" s="7"/>
      <c r="F223" s="7"/>
      <c r="G223" s="7"/>
      <c r="H223" s="7"/>
      <c r="I223" s="7"/>
      <c r="J223" s="87"/>
      <c r="K223" s="7"/>
      <c r="L223" s="7"/>
      <c r="M223" s="7"/>
      <c r="N223" s="7"/>
    </row>
    <row r="224" spans="1:14" ht="12.75">
      <c r="A224" s="7"/>
      <c r="B224" s="7"/>
      <c r="C224" s="7"/>
      <c r="D224" s="7"/>
      <c r="E224" s="7"/>
      <c r="F224" s="7"/>
      <c r="G224" s="7"/>
      <c r="H224" s="7"/>
      <c r="I224" s="7"/>
      <c r="J224" s="87"/>
      <c r="K224" s="7"/>
      <c r="L224" s="7"/>
      <c r="M224" s="7"/>
      <c r="N224" s="7"/>
    </row>
    <row r="225" spans="1:14" ht="12.75">
      <c r="A225" s="7"/>
      <c r="B225" s="7"/>
      <c r="C225" s="7"/>
      <c r="D225" s="7"/>
      <c r="E225" s="7"/>
      <c r="F225" s="7"/>
      <c r="G225" s="7"/>
      <c r="H225" s="7"/>
      <c r="I225" s="7"/>
      <c r="J225" s="87"/>
      <c r="K225" s="7"/>
      <c r="L225" s="7"/>
      <c r="M225" s="7"/>
      <c r="N225" s="7"/>
    </row>
    <row r="226" spans="1:14" ht="12.75">
      <c r="A226" s="7"/>
      <c r="B226" s="7"/>
      <c r="C226" s="7"/>
      <c r="D226" s="7"/>
      <c r="E226" s="7"/>
      <c r="F226" s="7"/>
      <c r="G226" s="7"/>
      <c r="H226" s="7"/>
      <c r="I226" s="7"/>
      <c r="J226" s="87"/>
      <c r="K226" s="7"/>
      <c r="L226" s="7"/>
      <c r="M226" s="7"/>
      <c r="N226" s="7"/>
    </row>
    <row r="227" spans="1:14" ht="12.75">
      <c r="A227" s="7"/>
      <c r="B227" s="7"/>
      <c r="C227" s="7"/>
      <c r="D227" s="7"/>
      <c r="E227" s="7"/>
      <c r="F227" s="7"/>
      <c r="G227" s="7"/>
      <c r="H227" s="7"/>
      <c r="I227" s="7"/>
      <c r="J227" s="87"/>
      <c r="K227" s="7"/>
      <c r="L227" s="7"/>
      <c r="M227" s="7"/>
      <c r="N227" s="7"/>
    </row>
    <row r="228" spans="1:14" ht="12.75">
      <c r="A228" s="7"/>
      <c r="B228" s="7"/>
      <c r="C228" s="7"/>
      <c r="D228" s="7"/>
      <c r="E228" s="7"/>
      <c r="F228" s="7"/>
      <c r="G228" s="7"/>
      <c r="H228" s="7"/>
      <c r="I228" s="7"/>
      <c r="J228" s="87"/>
      <c r="K228" s="7"/>
      <c r="L228" s="7"/>
      <c r="M228" s="7"/>
      <c r="N228" s="7"/>
    </row>
    <row r="229" spans="1:14" ht="12.75">
      <c r="A229" s="7"/>
      <c r="B229" s="7"/>
      <c r="C229" s="7"/>
      <c r="D229" s="7"/>
      <c r="E229" s="7"/>
      <c r="F229" s="7"/>
      <c r="G229" s="7"/>
      <c r="H229" s="7"/>
      <c r="I229" s="7"/>
      <c r="J229" s="87"/>
      <c r="K229" s="7"/>
      <c r="L229" s="7"/>
      <c r="M229" s="7"/>
      <c r="N229" s="7"/>
    </row>
    <row r="230" spans="1:14" ht="12.75">
      <c r="A230" s="7"/>
      <c r="B230" s="7"/>
      <c r="C230" s="7"/>
      <c r="D230" s="7"/>
      <c r="E230" s="7"/>
      <c r="F230" s="7"/>
      <c r="G230" s="7"/>
      <c r="H230" s="7"/>
      <c r="I230" s="7"/>
      <c r="J230" s="87"/>
      <c r="K230" s="7"/>
      <c r="L230" s="7"/>
      <c r="M230" s="7"/>
      <c r="N230" s="7"/>
    </row>
    <row r="231" spans="1:14" ht="12.75">
      <c r="A231" s="7"/>
      <c r="B231" s="7"/>
      <c r="C231" s="7"/>
      <c r="D231" s="7"/>
      <c r="E231" s="7"/>
      <c r="F231" s="7"/>
      <c r="G231" s="7"/>
      <c r="H231" s="7"/>
      <c r="I231" s="7"/>
      <c r="J231" s="87"/>
      <c r="K231" s="7"/>
      <c r="L231" s="7"/>
      <c r="M231" s="7"/>
      <c r="N231" s="7"/>
    </row>
    <row r="232" spans="1:14" ht="12.75">
      <c r="A232" s="7"/>
      <c r="B232" s="7"/>
      <c r="C232" s="7"/>
      <c r="D232" s="7"/>
      <c r="E232" s="7"/>
      <c r="F232" s="7"/>
      <c r="G232" s="7"/>
      <c r="H232" s="7"/>
      <c r="I232" s="7"/>
      <c r="J232" s="87"/>
      <c r="K232" s="7"/>
      <c r="L232" s="7"/>
      <c r="M232" s="7"/>
      <c r="N232" s="7"/>
    </row>
    <row r="233" spans="1:14" ht="12.75">
      <c r="A233" s="7"/>
      <c r="B233" s="7"/>
      <c r="C233" s="7"/>
      <c r="D233" s="7"/>
      <c r="E233" s="7"/>
      <c r="F233" s="7"/>
      <c r="G233" s="7"/>
      <c r="H233" s="7"/>
      <c r="I233" s="7"/>
      <c r="J233" s="87"/>
      <c r="K233" s="7"/>
      <c r="L233" s="7"/>
      <c r="M233" s="7"/>
      <c r="N233" s="7"/>
    </row>
    <row r="234" spans="1:14" ht="12.75">
      <c r="A234" s="7"/>
      <c r="B234" s="7"/>
      <c r="C234" s="7"/>
      <c r="D234" s="7"/>
      <c r="E234" s="7"/>
      <c r="F234" s="7"/>
      <c r="G234" s="7"/>
      <c r="H234" s="7"/>
      <c r="I234" s="7"/>
      <c r="J234" s="87"/>
      <c r="K234" s="7"/>
      <c r="L234" s="7"/>
      <c r="M234" s="7"/>
      <c r="N234" s="7"/>
    </row>
    <row r="235" spans="1:14" ht="12.75">
      <c r="A235" s="7"/>
      <c r="B235" s="7"/>
      <c r="C235" s="7"/>
      <c r="D235" s="7"/>
      <c r="E235" s="7"/>
      <c r="F235" s="7"/>
      <c r="G235" s="7"/>
      <c r="H235" s="7"/>
      <c r="I235" s="7"/>
      <c r="J235" s="87"/>
      <c r="K235" s="7"/>
      <c r="L235" s="7"/>
      <c r="M235" s="7"/>
      <c r="N235" s="7"/>
    </row>
    <row r="236" spans="1:14" ht="12.75">
      <c r="A236" s="7"/>
      <c r="B236" s="7"/>
      <c r="C236" s="7"/>
      <c r="D236" s="7"/>
      <c r="E236" s="7"/>
      <c r="F236" s="7"/>
      <c r="G236" s="7"/>
      <c r="H236" s="7"/>
      <c r="I236" s="7"/>
      <c r="J236" s="87"/>
      <c r="K236" s="7"/>
      <c r="L236" s="7"/>
      <c r="M236" s="7"/>
      <c r="N236" s="7"/>
    </row>
    <row r="237" spans="1:14" ht="12.75">
      <c r="A237" s="7"/>
      <c r="B237" s="7"/>
      <c r="C237" s="7"/>
      <c r="D237" s="7"/>
      <c r="E237" s="7"/>
      <c r="F237" s="7"/>
      <c r="G237" s="7"/>
      <c r="H237" s="7"/>
      <c r="I237" s="7"/>
      <c r="J237" s="87"/>
      <c r="K237" s="7"/>
      <c r="L237" s="7"/>
      <c r="M237" s="7"/>
      <c r="N237" s="7"/>
    </row>
    <row r="238" spans="1:14" ht="12.75">
      <c r="A238" s="7"/>
      <c r="B238" s="7"/>
      <c r="C238" s="7"/>
      <c r="D238" s="7"/>
      <c r="E238" s="7"/>
      <c r="F238" s="7"/>
      <c r="G238" s="7"/>
      <c r="H238" s="7"/>
      <c r="I238" s="7"/>
      <c r="J238" s="87"/>
      <c r="K238" s="7"/>
      <c r="L238" s="7"/>
      <c r="M238" s="7"/>
      <c r="N238" s="7"/>
    </row>
    <row r="239" spans="1:14" ht="12.75">
      <c r="A239" s="7"/>
      <c r="B239" s="7"/>
      <c r="C239" s="7"/>
      <c r="D239" s="7"/>
      <c r="E239" s="7"/>
      <c r="F239" s="7"/>
      <c r="G239" s="7"/>
      <c r="H239" s="7"/>
      <c r="I239" s="7"/>
      <c r="J239" s="87"/>
      <c r="K239" s="7"/>
      <c r="L239" s="7"/>
      <c r="M239" s="7"/>
      <c r="N239" s="7"/>
    </row>
    <row r="240" spans="1:14" ht="12.75">
      <c r="A240" s="7"/>
      <c r="B240" s="7"/>
      <c r="C240" s="7"/>
      <c r="D240" s="7"/>
      <c r="E240" s="7"/>
      <c r="F240" s="7"/>
      <c r="G240" s="7"/>
      <c r="H240" s="7"/>
      <c r="I240" s="7"/>
      <c r="J240" s="87"/>
      <c r="K240" s="7"/>
      <c r="L240" s="7"/>
      <c r="M240" s="7"/>
      <c r="N240" s="7"/>
    </row>
    <row r="241" spans="1:14" ht="12.75">
      <c r="A241" s="7"/>
      <c r="B241" s="7"/>
      <c r="C241" s="7"/>
      <c r="D241" s="7"/>
      <c r="E241" s="7"/>
      <c r="F241" s="7"/>
      <c r="G241" s="7"/>
      <c r="H241" s="7"/>
      <c r="I241" s="7"/>
      <c r="J241" s="87"/>
      <c r="K241" s="7"/>
      <c r="L241" s="7"/>
      <c r="M241" s="7"/>
      <c r="N241" s="7"/>
    </row>
    <row r="242" spans="1:14" ht="12.75">
      <c r="A242" s="7"/>
      <c r="B242" s="7"/>
      <c r="C242" s="7"/>
      <c r="D242" s="7"/>
      <c r="E242" s="7"/>
      <c r="F242" s="7"/>
      <c r="G242" s="7"/>
      <c r="H242" s="7"/>
      <c r="I242" s="7"/>
      <c r="J242" s="87"/>
      <c r="K242" s="7"/>
      <c r="L242" s="7"/>
      <c r="M242" s="7"/>
      <c r="N242" s="7"/>
    </row>
    <row r="243" spans="1:14" ht="12.75">
      <c r="A243" s="7"/>
      <c r="B243" s="7"/>
      <c r="C243" s="7"/>
      <c r="D243" s="7"/>
      <c r="E243" s="7"/>
      <c r="F243" s="7"/>
      <c r="G243" s="7"/>
      <c r="H243" s="7"/>
      <c r="I243" s="7"/>
      <c r="J243" s="87"/>
      <c r="K243" s="7"/>
      <c r="L243" s="7"/>
      <c r="M243" s="7"/>
      <c r="N243" s="7"/>
    </row>
    <row r="244" spans="1:14" ht="12.75">
      <c r="A244" s="7"/>
      <c r="B244" s="7"/>
      <c r="C244" s="7"/>
      <c r="D244" s="7"/>
      <c r="E244" s="7"/>
      <c r="F244" s="7"/>
      <c r="G244" s="7"/>
      <c r="H244" s="7"/>
      <c r="I244" s="7"/>
      <c r="J244" s="87"/>
      <c r="K244" s="7"/>
      <c r="L244" s="7"/>
      <c r="M244" s="7"/>
      <c r="N244" s="7"/>
    </row>
    <row r="245" spans="1:14" ht="12.75">
      <c r="A245" s="7"/>
      <c r="B245" s="7"/>
      <c r="C245" s="7"/>
      <c r="D245" s="7"/>
      <c r="E245" s="7"/>
      <c r="F245" s="7"/>
      <c r="G245" s="7"/>
      <c r="H245" s="7"/>
      <c r="I245" s="7"/>
      <c r="J245" s="87"/>
      <c r="K245" s="7"/>
      <c r="L245" s="7"/>
      <c r="M245" s="7"/>
      <c r="N245" s="7"/>
    </row>
    <row r="246" spans="1:14" ht="12.75">
      <c r="A246" s="7"/>
      <c r="B246" s="7"/>
      <c r="C246" s="7"/>
      <c r="D246" s="7"/>
      <c r="E246" s="7"/>
      <c r="F246" s="7"/>
      <c r="G246" s="7"/>
      <c r="H246" s="7"/>
      <c r="I246" s="7"/>
      <c r="J246" s="87"/>
      <c r="K246" s="7"/>
      <c r="L246" s="7"/>
      <c r="M246" s="7"/>
      <c r="N246" s="7"/>
    </row>
    <row r="247" spans="1:14" ht="12.75">
      <c r="A247" s="7"/>
      <c r="B247" s="7"/>
      <c r="C247" s="7"/>
      <c r="D247" s="7"/>
      <c r="E247" s="7"/>
      <c r="F247" s="7"/>
      <c r="G247" s="7"/>
      <c r="H247" s="7"/>
      <c r="I247" s="7"/>
      <c r="J247" s="87"/>
      <c r="K247" s="7"/>
      <c r="L247" s="7"/>
      <c r="M247" s="7"/>
      <c r="N247" s="7"/>
    </row>
    <row r="248" spans="1:14" ht="12.75">
      <c r="A248" s="7"/>
      <c r="B248" s="7"/>
      <c r="C248" s="7"/>
      <c r="D248" s="7"/>
      <c r="E248" s="7"/>
      <c r="F248" s="7"/>
      <c r="G248" s="7"/>
      <c r="H248" s="7"/>
      <c r="I248" s="7"/>
      <c r="J248" s="87"/>
      <c r="K248" s="7"/>
      <c r="L248" s="7"/>
      <c r="M248" s="7"/>
      <c r="N248" s="7"/>
    </row>
    <row r="249" spans="1:14" ht="12.75">
      <c r="A249" s="7"/>
      <c r="B249" s="7"/>
      <c r="C249" s="7"/>
      <c r="D249" s="7"/>
      <c r="E249" s="7"/>
      <c r="F249" s="7"/>
      <c r="G249" s="7"/>
      <c r="H249" s="7"/>
      <c r="I249" s="7"/>
      <c r="J249" s="87"/>
      <c r="K249" s="7"/>
      <c r="L249" s="7"/>
      <c r="M249" s="7"/>
      <c r="N249" s="7"/>
    </row>
    <row r="250" spans="1:14" ht="12.75">
      <c r="A250" s="7"/>
      <c r="B250" s="7"/>
      <c r="C250" s="7"/>
      <c r="D250" s="7"/>
      <c r="E250" s="7"/>
      <c r="F250" s="7"/>
      <c r="G250" s="7"/>
      <c r="H250" s="7"/>
      <c r="I250" s="7"/>
      <c r="J250" s="87"/>
      <c r="K250" s="7"/>
      <c r="L250" s="7"/>
      <c r="M250" s="7"/>
      <c r="N250" s="7"/>
    </row>
    <row r="251" spans="1:14" ht="12.75">
      <c r="A251" s="7"/>
      <c r="B251" s="7"/>
      <c r="C251" s="7"/>
      <c r="D251" s="7"/>
      <c r="E251" s="7"/>
      <c r="F251" s="7"/>
      <c r="G251" s="7"/>
      <c r="H251" s="7"/>
      <c r="I251" s="7"/>
      <c r="J251" s="87"/>
      <c r="K251" s="7"/>
      <c r="L251" s="7"/>
      <c r="M251" s="7"/>
      <c r="N251" s="7"/>
    </row>
    <row r="252" spans="1:14" ht="12.75">
      <c r="A252" s="7"/>
      <c r="B252" s="7"/>
      <c r="C252" s="7"/>
      <c r="D252" s="7"/>
      <c r="E252" s="7"/>
      <c r="F252" s="7"/>
      <c r="G252" s="7"/>
      <c r="H252" s="7"/>
      <c r="I252" s="7"/>
      <c r="J252" s="87"/>
      <c r="K252" s="7"/>
      <c r="L252" s="7"/>
      <c r="M252" s="7"/>
      <c r="N252" s="7"/>
    </row>
    <row r="253" spans="1:14" ht="12.75">
      <c r="A253" s="7"/>
      <c r="B253" s="7"/>
      <c r="C253" s="7"/>
      <c r="D253" s="7"/>
      <c r="E253" s="7"/>
      <c r="F253" s="7"/>
      <c r="G253" s="7"/>
      <c r="H253" s="7"/>
      <c r="I253" s="7"/>
      <c r="J253" s="87"/>
      <c r="K253" s="7"/>
      <c r="L253" s="7"/>
      <c r="M253" s="7"/>
      <c r="N253" s="7"/>
    </row>
    <row r="254" spans="1:14" ht="12.75">
      <c r="A254" s="7"/>
      <c r="B254" s="7"/>
      <c r="C254" s="7"/>
      <c r="D254" s="7"/>
      <c r="E254" s="7"/>
      <c r="F254" s="7"/>
      <c r="G254" s="7"/>
      <c r="H254" s="7"/>
      <c r="I254" s="7"/>
      <c r="J254" s="87"/>
      <c r="K254" s="7"/>
      <c r="L254" s="7"/>
      <c r="M254" s="7"/>
      <c r="N254" s="7"/>
    </row>
    <row r="255" spans="1:14" ht="12.75">
      <c r="A255" s="7"/>
      <c r="B255" s="7"/>
      <c r="C255" s="7"/>
      <c r="D255" s="7"/>
      <c r="E255" s="7"/>
      <c r="F255" s="7"/>
      <c r="G255" s="7"/>
      <c r="H255" s="7"/>
      <c r="I255" s="7"/>
      <c r="J255" s="87"/>
      <c r="K255" s="7"/>
      <c r="L255" s="7"/>
      <c r="M255" s="7"/>
      <c r="N255" s="7"/>
    </row>
    <row r="256" spans="1:14" ht="12.75">
      <c r="A256" s="7"/>
      <c r="B256" s="7"/>
      <c r="C256" s="7"/>
      <c r="D256" s="7"/>
      <c r="E256" s="7"/>
      <c r="F256" s="7"/>
      <c r="G256" s="7"/>
      <c r="H256" s="7"/>
      <c r="I256" s="7"/>
      <c r="J256" s="87"/>
      <c r="K256" s="7"/>
      <c r="L256" s="7"/>
      <c r="M256" s="7"/>
      <c r="N256" s="7"/>
    </row>
    <row r="257" spans="1:14" ht="12.75">
      <c r="A257" s="7"/>
      <c r="B257" s="7"/>
      <c r="C257" s="7"/>
      <c r="D257" s="7"/>
      <c r="E257" s="7"/>
      <c r="F257" s="7"/>
      <c r="G257" s="7"/>
      <c r="H257" s="7"/>
      <c r="I257" s="7"/>
      <c r="J257" s="87"/>
      <c r="K257" s="7"/>
      <c r="L257" s="7"/>
      <c r="M257" s="7"/>
      <c r="N257" s="7"/>
    </row>
    <row r="258" spans="1:14" ht="12.75">
      <c r="A258" s="7"/>
      <c r="B258" s="7"/>
      <c r="C258" s="7"/>
      <c r="D258" s="7"/>
      <c r="E258" s="7"/>
      <c r="F258" s="7"/>
      <c r="G258" s="7"/>
      <c r="H258" s="7"/>
      <c r="I258" s="7"/>
      <c r="J258" s="87"/>
      <c r="K258" s="7"/>
      <c r="L258" s="7"/>
      <c r="M258" s="7"/>
      <c r="N258" s="7"/>
    </row>
    <row r="259" spans="1:14" ht="12.75">
      <c r="A259" s="7"/>
      <c r="B259" s="7"/>
      <c r="C259" s="7"/>
      <c r="D259" s="7"/>
      <c r="E259" s="7"/>
      <c r="F259" s="7"/>
      <c r="G259" s="7"/>
      <c r="H259" s="7"/>
      <c r="I259" s="7"/>
      <c r="J259" s="87"/>
      <c r="K259" s="7"/>
      <c r="L259" s="7"/>
      <c r="M259" s="7"/>
      <c r="N259" s="7"/>
    </row>
    <row r="260" spans="1:14" ht="12.75">
      <c r="A260" s="7"/>
      <c r="B260" s="7"/>
      <c r="C260" s="7"/>
      <c r="D260" s="7"/>
      <c r="E260" s="7"/>
      <c r="F260" s="7"/>
      <c r="G260" s="7"/>
      <c r="H260" s="7"/>
      <c r="I260" s="7"/>
      <c r="J260" s="87"/>
      <c r="K260" s="7"/>
      <c r="L260" s="7"/>
      <c r="M260" s="7"/>
      <c r="N260" s="7"/>
    </row>
    <row r="261" spans="1:14" ht="12.75">
      <c r="A261" s="7"/>
      <c r="B261" s="7"/>
      <c r="C261" s="7"/>
      <c r="D261" s="7"/>
      <c r="E261" s="7"/>
      <c r="F261" s="7"/>
      <c r="G261" s="7"/>
      <c r="H261" s="7"/>
      <c r="I261" s="7"/>
      <c r="J261" s="87"/>
      <c r="K261" s="7"/>
      <c r="L261" s="7"/>
      <c r="M261" s="7"/>
      <c r="N261" s="7"/>
    </row>
    <row r="262" spans="1:14" ht="12.75">
      <c r="A262" s="7"/>
      <c r="B262" s="7"/>
      <c r="C262" s="7"/>
      <c r="D262" s="7"/>
      <c r="E262" s="7"/>
      <c r="F262" s="7"/>
      <c r="G262" s="7"/>
      <c r="H262" s="7"/>
      <c r="I262" s="7"/>
      <c r="J262" s="87"/>
      <c r="K262" s="7"/>
      <c r="L262" s="7"/>
      <c r="M262" s="7"/>
      <c r="N262" s="7"/>
    </row>
    <row r="263" spans="1:14" ht="12.75">
      <c r="A263" s="7"/>
      <c r="B263" s="7"/>
      <c r="C263" s="7"/>
      <c r="D263" s="7"/>
      <c r="E263" s="7"/>
      <c r="F263" s="7"/>
      <c r="G263" s="7"/>
      <c r="H263" s="7"/>
      <c r="I263" s="7"/>
      <c r="J263" s="87"/>
      <c r="K263" s="7"/>
      <c r="L263" s="7"/>
      <c r="M263" s="7"/>
      <c r="N263" s="7"/>
    </row>
    <row r="264" spans="1:14" ht="12.75">
      <c r="A264" s="7"/>
      <c r="B264" s="7"/>
      <c r="C264" s="7"/>
      <c r="D264" s="7"/>
      <c r="E264" s="7"/>
      <c r="F264" s="7"/>
      <c r="G264" s="7"/>
      <c r="H264" s="7"/>
      <c r="I264" s="7"/>
      <c r="J264" s="87"/>
      <c r="K264" s="7"/>
      <c r="L264" s="7"/>
      <c r="M264" s="7"/>
      <c r="N264" s="7"/>
    </row>
    <row r="265" spans="1:14" ht="12.75">
      <c r="A265" s="7"/>
      <c r="B265" s="7"/>
      <c r="C265" s="7"/>
      <c r="D265" s="7"/>
      <c r="E265" s="7"/>
      <c r="F265" s="7"/>
      <c r="G265" s="7"/>
      <c r="H265" s="7"/>
      <c r="I265" s="7"/>
      <c r="J265" s="87"/>
      <c r="K265" s="7"/>
      <c r="L265" s="7"/>
      <c r="M265" s="7"/>
      <c r="N265" s="7"/>
    </row>
    <row r="266" spans="1:14" ht="12.75">
      <c r="A266" s="7"/>
      <c r="B266" s="7"/>
      <c r="C266" s="7"/>
      <c r="D266" s="7"/>
      <c r="E266" s="7"/>
      <c r="F266" s="7"/>
      <c r="G266" s="7"/>
      <c r="H266" s="7"/>
      <c r="I266" s="7"/>
      <c r="J266" s="87"/>
      <c r="K266" s="7"/>
      <c r="L266" s="7"/>
      <c r="M266" s="7"/>
      <c r="N266" s="7"/>
    </row>
    <row r="267" spans="1:14" ht="12.75">
      <c r="A267" s="7"/>
      <c r="B267" s="7"/>
      <c r="C267" s="7"/>
      <c r="D267" s="7"/>
      <c r="E267" s="7"/>
      <c r="F267" s="7"/>
      <c r="G267" s="7"/>
      <c r="H267" s="7"/>
      <c r="I267" s="7"/>
      <c r="J267" s="87"/>
      <c r="K267" s="7"/>
      <c r="L267" s="7"/>
      <c r="M267" s="7"/>
      <c r="N267" s="7"/>
    </row>
    <row r="268" spans="1:14" ht="12.75">
      <c r="A268" s="7"/>
      <c r="B268" s="7"/>
      <c r="C268" s="7"/>
      <c r="D268" s="7"/>
      <c r="E268" s="7"/>
      <c r="F268" s="7"/>
      <c r="G268" s="7"/>
      <c r="H268" s="7"/>
      <c r="I268" s="7"/>
      <c r="J268" s="87"/>
      <c r="K268" s="7"/>
      <c r="L268" s="7"/>
      <c r="M268" s="7"/>
      <c r="N268" s="7"/>
    </row>
    <row r="269" spans="1:14" ht="12.75">
      <c r="A269" s="7"/>
      <c r="B269" s="7"/>
      <c r="C269" s="7"/>
      <c r="D269" s="7"/>
      <c r="E269" s="7"/>
      <c r="F269" s="7"/>
      <c r="G269" s="7"/>
      <c r="H269" s="7"/>
      <c r="I269" s="7"/>
      <c r="J269" s="87"/>
      <c r="K269" s="7"/>
      <c r="L269" s="7"/>
      <c r="M269" s="7"/>
      <c r="N269" s="7"/>
    </row>
    <row r="270" spans="1:14" ht="12.75">
      <c r="A270" s="7"/>
      <c r="B270" s="7"/>
      <c r="C270" s="7"/>
      <c r="D270" s="7"/>
      <c r="E270" s="7"/>
      <c r="F270" s="7"/>
      <c r="G270" s="7"/>
      <c r="H270" s="7"/>
      <c r="I270" s="7"/>
      <c r="J270" s="87"/>
      <c r="K270" s="7"/>
      <c r="L270" s="7"/>
      <c r="M270" s="7"/>
      <c r="N270" s="7"/>
    </row>
    <row r="271" spans="1:14" ht="12.75">
      <c r="A271" s="7"/>
      <c r="B271" s="7"/>
      <c r="C271" s="7"/>
      <c r="D271" s="7"/>
      <c r="E271" s="7"/>
      <c r="F271" s="7"/>
      <c r="G271" s="7"/>
      <c r="H271" s="7"/>
      <c r="I271" s="7"/>
      <c r="J271" s="87"/>
      <c r="K271" s="7"/>
      <c r="L271" s="7"/>
      <c r="M271" s="7"/>
      <c r="N271" s="7"/>
    </row>
    <row r="272" spans="1:14" ht="12.75">
      <c r="A272" s="7"/>
      <c r="B272" s="7"/>
      <c r="C272" s="7"/>
      <c r="D272" s="7"/>
      <c r="E272" s="7"/>
      <c r="F272" s="7"/>
      <c r="G272" s="7"/>
      <c r="H272" s="7"/>
      <c r="I272" s="7"/>
      <c r="J272" s="87"/>
      <c r="K272" s="7"/>
      <c r="L272" s="7"/>
      <c r="M272" s="7"/>
      <c r="N272" s="7"/>
    </row>
    <row r="273" spans="1:14" ht="12.75">
      <c r="A273" s="7"/>
      <c r="B273" s="7"/>
      <c r="C273" s="7"/>
      <c r="D273" s="7"/>
      <c r="E273" s="7"/>
      <c r="F273" s="7"/>
      <c r="G273" s="7"/>
      <c r="H273" s="7"/>
      <c r="I273" s="7"/>
      <c r="J273" s="87"/>
      <c r="K273" s="7"/>
      <c r="L273" s="7"/>
      <c r="M273" s="7"/>
      <c r="N273" s="7"/>
    </row>
    <row r="274" spans="1:14" ht="12.75">
      <c r="A274" s="7"/>
      <c r="B274" s="7"/>
      <c r="C274" s="7"/>
      <c r="D274" s="7"/>
      <c r="E274" s="7"/>
      <c r="F274" s="7"/>
      <c r="G274" s="7"/>
      <c r="H274" s="7"/>
      <c r="I274" s="7"/>
      <c r="J274" s="87"/>
      <c r="K274" s="7"/>
      <c r="L274" s="7"/>
      <c r="M274" s="7"/>
      <c r="N274" s="7"/>
    </row>
    <row r="275" spans="1:14" ht="12.75">
      <c r="A275" s="7"/>
      <c r="B275" s="7"/>
      <c r="C275" s="7"/>
      <c r="D275" s="7"/>
      <c r="E275" s="7"/>
      <c r="F275" s="7"/>
      <c r="G275" s="7"/>
      <c r="H275" s="7"/>
      <c r="I275" s="7"/>
      <c r="J275" s="87"/>
      <c r="K275" s="7"/>
      <c r="L275" s="7"/>
      <c r="M275" s="7"/>
      <c r="N275" s="7"/>
    </row>
    <row r="276" spans="1:14" ht="12.75">
      <c r="A276" s="7"/>
      <c r="B276" s="7"/>
      <c r="C276" s="7"/>
      <c r="D276" s="7"/>
      <c r="E276" s="7"/>
      <c r="F276" s="7"/>
      <c r="G276" s="7"/>
      <c r="H276" s="7"/>
      <c r="I276" s="7"/>
      <c r="J276" s="87"/>
      <c r="K276" s="7"/>
      <c r="L276" s="7"/>
      <c r="M276" s="7"/>
      <c r="N276" s="7"/>
    </row>
    <row r="277" spans="1:14" ht="12.75">
      <c r="A277" s="7"/>
      <c r="B277" s="7"/>
      <c r="C277" s="7"/>
      <c r="D277" s="7"/>
      <c r="E277" s="7"/>
      <c r="F277" s="7"/>
      <c r="G277" s="7"/>
      <c r="H277" s="7"/>
      <c r="I277" s="7"/>
      <c r="J277" s="87"/>
      <c r="K277" s="7"/>
      <c r="L277" s="7"/>
      <c r="M277" s="7"/>
      <c r="N277" s="7"/>
    </row>
    <row r="278" spans="1:14" ht="12.75">
      <c r="A278" s="7"/>
      <c r="B278" s="7"/>
      <c r="C278" s="7"/>
      <c r="D278" s="7"/>
      <c r="E278" s="7"/>
      <c r="F278" s="7"/>
      <c r="G278" s="7"/>
      <c r="H278" s="7"/>
      <c r="I278" s="7"/>
      <c r="J278" s="87"/>
      <c r="K278" s="7"/>
      <c r="L278" s="7"/>
      <c r="M278" s="7"/>
      <c r="N278" s="7"/>
    </row>
    <row r="279" spans="1:14" ht="12.75">
      <c r="A279" s="7"/>
      <c r="B279" s="7"/>
      <c r="C279" s="7"/>
      <c r="D279" s="7"/>
      <c r="E279" s="7"/>
      <c r="F279" s="7"/>
      <c r="G279" s="7"/>
      <c r="H279" s="7"/>
      <c r="I279" s="7"/>
      <c r="J279" s="87"/>
      <c r="K279" s="7"/>
      <c r="L279" s="7"/>
      <c r="M279" s="7"/>
      <c r="N279" s="7"/>
    </row>
    <row r="280" spans="1:14" ht="12.75">
      <c r="A280" s="7"/>
      <c r="B280" s="7"/>
      <c r="C280" s="7"/>
      <c r="D280" s="7"/>
      <c r="E280" s="7"/>
      <c r="F280" s="7"/>
      <c r="G280" s="7"/>
      <c r="H280" s="7"/>
      <c r="I280" s="7"/>
      <c r="J280" s="87"/>
      <c r="K280" s="7"/>
      <c r="L280" s="7"/>
      <c r="M280" s="7"/>
      <c r="N280" s="7"/>
    </row>
    <row r="281" spans="1:14" ht="12.75">
      <c r="A281" s="7"/>
      <c r="B281" s="7"/>
      <c r="C281" s="7"/>
      <c r="D281" s="7"/>
      <c r="E281" s="7"/>
      <c r="F281" s="7"/>
      <c r="G281" s="7"/>
      <c r="H281" s="7"/>
      <c r="I281" s="7"/>
      <c r="J281" s="87"/>
      <c r="K281" s="7"/>
      <c r="L281" s="7"/>
      <c r="M281" s="7"/>
      <c r="N281" s="7"/>
    </row>
    <row r="282" spans="1:14" ht="12.75">
      <c r="A282" s="7"/>
      <c r="B282" s="7"/>
      <c r="C282" s="7"/>
      <c r="D282" s="7"/>
      <c r="E282" s="7"/>
      <c r="F282" s="7"/>
      <c r="G282" s="7"/>
      <c r="H282" s="7"/>
      <c r="I282" s="7"/>
      <c r="J282" s="87"/>
      <c r="K282" s="7"/>
      <c r="L282" s="7"/>
      <c r="M282" s="7"/>
      <c r="N282" s="7"/>
    </row>
    <row r="283" spans="1:14" ht="12.75">
      <c r="A283" s="7"/>
      <c r="B283" s="7"/>
      <c r="C283" s="7"/>
      <c r="D283" s="7"/>
      <c r="E283" s="7"/>
      <c r="F283" s="7"/>
      <c r="G283" s="7"/>
      <c r="H283" s="7"/>
      <c r="I283" s="7"/>
      <c r="J283" s="87"/>
      <c r="K283" s="7"/>
      <c r="L283" s="7"/>
      <c r="M283" s="7"/>
      <c r="N283" s="7"/>
    </row>
    <row r="284" spans="1:14" ht="12.75">
      <c r="A284" s="7"/>
      <c r="B284" s="7"/>
      <c r="C284" s="7"/>
      <c r="D284" s="7"/>
      <c r="E284" s="7"/>
      <c r="F284" s="7"/>
      <c r="G284" s="7"/>
      <c r="H284" s="7"/>
      <c r="I284" s="7"/>
      <c r="J284" s="87"/>
      <c r="K284" s="7"/>
      <c r="L284" s="7"/>
      <c r="M284" s="7"/>
      <c r="N284" s="7"/>
    </row>
    <row r="285" spans="1:14" ht="12.75">
      <c r="A285" s="7"/>
      <c r="B285" s="7"/>
      <c r="C285" s="7"/>
      <c r="D285" s="7"/>
      <c r="E285" s="7"/>
      <c r="F285" s="7"/>
      <c r="G285" s="7"/>
      <c r="H285" s="7"/>
      <c r="I285" s="7"/>
      <c r="J285" s="87"/>
      <c r="K285" s="7"/>
      <c r="L285" s="7"/>
      <c r="M285" s="7"/>
      <c r="N285" s="7"/>
    </row>
    <row r="286" spans="1:14" ht="12.75">
      <c r="A286" s="7"/>
      <c r="B286" s="7"/>
      <c r="C286" s="7"/>
      <c r="D286" s="7"/>
      <c r="E286" s="7"/>
      <c r="F286" s="7"/>
      <c r="G286" s="7"/>
      <c r="H286" s="7"/>
      <c r="I286" s="7"/>
      <c r="J286" s="87"/>
      <c r="K286" s="7"/>
      <c r="L286" s="7"/>
      <c r="M286" s="7"/>
      <c r="N286" s="7"/>
    </row>
    <row r="287" spans="1:14" ht="12.75">
      <c r="A287" s="7"/>
      <c r="B287" s="7"/>
      <c r="C287" s="7"/>
      <c r="D287" s="7"/>
      <c r="E287" s="7"/>
      <c r="F287" s="7"/>
      <c r="G287" s="7"/>
      <c r="H287" s="7"/>
      <c r="I287" s="7"/>
      <c r="J287" s="87"/>
      <c r="K287" s="7"/>
      <c r="L287" s="7"/>
      <c r="M287" s="7"/>
      <c r="N287" s="7"/>
    </row>
    <row r="288" spans="1:14" ht="12.75">
      <c r="A288" s="7"/>
      <c r="B288" s="7"/>
      <c r="C288" s="7"/>
      <c r="D288" s="7"/>
      <c r="E288" s="7"/>
      <c r="F288" s="7"/>
      <c r="G288" s="7"/>
      <c r="H288" s="7"/>
      <c r="I288" s="7"/>
      <c r="J288" s="87"/>
      <c r="K288" s="7"/>
      <c r="L288" s="7"/>
      <c r="M288" s="7"/>
      <c r="N288" s="7"/>
    </row>
    <row r="289" spans="1:14" ht="12.75">
      <c r="A289" s="7"/>
      <c r="B289" s="7"/>
      <c r="C289" s="7"/>
      <c r="D289" s="7"/>
      <c r="E289" s="7"/>
      <c r="F289" s="7"/>
      <c r="G289" s="7"/>
      <c r="H289" s="7"/>
      <c r="I289" s="7"/>
      <c r="J289" s="87"/>
      <c r="K289" s="7"/>
      <c r="L289" s="7"/>
      <c r="M289" s="7"/>
      <c r="N289" s="7"/>
    </row>
    <row r="290" spans="1:14" ht="12.75">
      <c r="A290" s="7"/>
      <c r="B290" s="7"/>
      <c r="C290" s="7"/>
      <c r="D290" s="7"/>
      <c r="E290" s="7"/>
      <c r="F290" s="7"/>
      <c r="G290" s="7"/>
      <c r="H290" s="7"/>
      <c r="I290" s="7"/>
      <c r="J290" s="87"/>
      <c r="K290" s="7"/>
      <c r="L290" s="7"/>
      <c r="M290" s="7"/>
      <c r="N290" s="7"/>
    </row>
    <row r="291" spans="1:14" ht="12.75">
      <c r="A291" s="7"/>
      <c r="B291" s="7"/>
      <c r="C291" s="7"/>
      <c r="D291" s="7"/>
      <c r="E291" s="7"/>
      <c r="F291" s="7"/>
      <c r="G291" s="7"/>
      <c r="H291" s="7"/>
      <c r="I291" s="7"/>
      <c r="J291" s="87"/>
      <c r="K291" s="7"/>
      <c r="L291" s="7"/>
      <c r="M291" s="7"/>
      <c r="N291" s="7"/>
    </row>
    <row r="292" spans="1:14" ht="12.75">
      <c r="A292" s="7"/>
      <c r="B292" s="7"/>
      <c r="C292" s="7"/>
      <c r="D292" s="7"/>
      <c r="E292" s="7"/>
      <c r="F292" s="7"/>
      <c r="G292" s="7"/>
      <c r="H292" s="7"/>
      <c r="I292" s="7"/>
      <c r="J292" s="87"/>
      <c r="K292" s="7"/>
      <c r="L292" s="7"/>
      <c r="M292" s="7"/>
      <c r="N292" s="7"/>
    </row>
    <row r="293" spans="1:14" ht="12.75">
      <c r="A293" s="7"/>
      <c r="B293" s="7"/>
      <c r="C293" s="7"/>
      <c r="D293" s="7"/>
      <c r="E293" s="7"/>
      <c r="F293" s="7"/>
      <c r="G293" s="7"/>
      <c r="H293" s="7"/>
      <c r="I293" s="7"/>
      <c r="J293" s="87"/>
      <c r="K293" s="7"/>
      <c r="L293" s="7"/>
      <c r="M293" s="7"/>
      <c r="N293" s="7"/>
    </row>
    <row r="294" spans="1:14" ht="12.75">
      <c r="A294" s="7"/>
      <c r="B294" s="7"/>
      <c r="C294" s="7"/>
      <c r="D294" s="7"/>
      <c r="E294" s="7"/>
      <c r="F294" s="7"/>
      <c r="G294" s="7"/>
      <c r="H294" s="7"/>
      <c r="I294" s="7"/>
      <c r="J294" s="87"/>
      <c r="K294" s="7"/>
      <c r="L294" s="7"/>
      <c r="M294" s="7"/>
      <c r="N294" s="7"/>
    </row>
    <row r="295" spans="1:14" ht="12.75">
      <c r="A295" s="7"/>
      <c r="B295" s="7"/>
      <c r="C295" s="7"/>
      <c r="D295" s="7"/>
      <c r="E295" s="7"/>
      <c r="F295" s="7"/>
      <c r="G295" s="7"/>
      <c r="H295" s="7"/>
      <c r="I295" s="7"/>
      <c r="J295" s="87"/>
      <c r="K295" s="7"/>
      <c r="L295" s="7"/>
      <c r="M295" s="7"/>
      <c r="N295" s="7"/>
    </row>
    <row r="296" spans="1:14" ht="12.75">
      <c r="A296" s="7"/>
      <c r="B296" s="7"/>
      <c r="C296" s="7"/>
      <c r="D296" s="7"/>
      <c r="E296" s="7"/>
      <c r="F296" s="7"/>
      <c r="G296" s="7"/>
      <c r="H296" s="7"/>
      <c r="I296" s="7"/>
      <c r="J296" s="87"/>
      <c r="K296" s="7"/>
      <c r="L296" s="7"/>
      <c r="M296" s="7"/>
      <c r="N296" s="7"/>
    </row>
    <row r="297" spans="1:14" ht="12.75">
      <c r="A297" s="7"/>
      <c r="B297" s="7"/>
      <c r="C297" s="7"/>
      <c r="D297" s="7"/>
      <c r="E297" s="7"/>
      <c r="F297" s="7"/>
      <c r="G297" s="7"/>
      <c r="H297" s="7"/>
      <c r="I297" s="7"/>
      <c r="J297" s="87"/>
      <c r="K297" s="7"/>
      <c r="L297" s="7"/>
      <c r="M297" s="7"/>
      <c r="N297" s="7"/>
    </row>
    <row r="298" spans="1:14" ht="12.75">
      <c r="A298" s="7"/>
      <c r="B298" s="7"/>
      <c r="C298" s="7"/>
      <c r="D298" s="7"/>
      <c r="E298" s="7"/>
      <c r="F298" s="7"/>
      <c r="G298" s="7"/>
      <c r="H298" s="7"/>
      <c r="I298" s="7"/>
      <c r="J298" s="87"/>
      <c r="K298" s="7"/>
      <c r="L298" s="7"/>
      <c r="M298" s="7"/>
      <c r="N298" s="7"/>
    </row>
    <row r="299" spans="1:14" ht="12.75">
      <c r="A299" s="7"/>
      <c r="B299" s="7"/>
      <c r="C299" s="7"/>
      <c r="D299" s="7"/>
      <c r="E299" s="7"/>
      <c r="F299" s="7"/>
      <c r="G299" s="7"/>
      <c r="H299" s="7"/>
      <c r="I299" s="7"/>
      <c r="J299" s="87"/>
      <c r="K299" s="7"/>
      <c r="L299" s="7"/>
      <c r="M299" s="7"/>
      <c r="N299" s="7"/>
    </row>
    <row r="300" spans="1:14" ht="12.75">
      <c r="A300" s="7"/>
      <c r="B300" s="7"/>
      <c r="C300" s="7"/>
      <c r="D300" s="7"/>
      <c r="E300" s="7"/>
      <c r="F300" s="7"/>
      <c r="G300" s="7"/>
      <c r="H300" s="7"/>
      <c r="I300" s="7"/>
      <c r="J300" s="87"/>
      <c r="K300" s="7"/>
      <c r="L300" s="7"/>
      <c r="M300" s="7"/>
      <c r="N300" s="7"/>
    </row>
    <row r="301" spans="1:14" ht="12.75">
      <c r="A301" s="7"/>
      <c r="B301" s="7"/>
      <c r="C301" s="7"/>
      <c r="D301" s="7"/>
      <c r="E301" s="7"/>
      <c r="F301" s="7"/>
      <c r="G301" s="7"/>
      <c r="H301" s="7"/>
      <c r="I301" s="7"/>
      <c r="J301" s="87"/>
      <c r="K301" s="7"/>
      <c r="L301" s="7"/>
      <c r="M301" s="7"/>
      <c r="N301" s="7"/>
    </row>
    <row r="302" spans="1:14" ht="12.75">
      <c r="A302" s="7"/>
      <c r="B302" s="7"/>
      <c r="C302" s="7"/>
      <c r="D302" s="7"/>
      <c r="E302" s="7"/>
      <c r="F302" s="7"/>
      <c r="G302" s="7"/>
      <c r="H302" s="7"/>
      <c r="I302" s="7"/>
      <c r="J302" s="87"/>
      <c r="K302" s="7"/>
      <c r="L302" s="7"/>
      <c r="M302" s="7"/>
      <c r="N302" s="7"/>
    </row>
    <row r="303" spans="1:14" ht="12.75">
      <c r="A303" s="7"/>
      <c r="B303" s="7"/>
      <c r="C303" s="7"/>
      <c r="D303" s="7"/>
      <c r="E303" s="7"/>
      <c r="F303" s="7"/>
      <c r="G303" s="7"/>
      <c r="H303" s="7"/>
      <c r="I303" s="7"/>
      <c r="J303" s="87"/>
      <c r="K303" s="7"/>
      <c r="L303" s="7"/>
      <c r="M303" s="7"/>
      <c r="N303" s="7"/>
    </row>
    <row r="304" spans="1:14" ht="12.75">
      <c r="A304" s="7"/>
      <c r="B304" s="7"/>
      <c r="C304" s="7"/>
      <c r="D304" s="7"/>
      <c r="E304" s="7"/>
      <c r="F304" s="7"/>
      <c r="G304" s="7"/>
      <c r="H304" s="7"/>
      <c r="I304" s="7"/>
      <c r="J304" s="87"/>
      <c r="K304" s="7"/>
      <c r="L304" s="7"/>
      <c r="M304" s="7"/>
      <c r="N304" s="7"/>
    </row>
    <row r="305" spans="1:14" ht="12.75">
      <c r="A305" s="7"/>
      <c r="B305" s="7"/>
      <c r="C305" s="7"/>
      <c r="D305" s="7"/>
      <c r="E305" s="7"/>
      <c r="F305" s="7"/>
      <c r="G305" s="7"/>
      <c r="H305" s="7"/>
      <c r="I305" s="7"/>
      <c r="J305" s="87"/>
      <c r="K305" s="7"/>
      <c r="L305" s="7"/>
      <c r="M305" s="7"/>
      <c r="N305" s="7"/>
    </row>
    <row r="306" spans="1:14" ht="12.75">
      <c r="A306" s="7"/>
      <c r="B306" s="7"/>
      <c r="C306" s="7"/>
      <c r="D306" s="7"/>
      <c r="E306" s="7"/>
      <c r="F306" s="7"/>
      <c r="G306" s="7"/>
      <c r="H306" s="7"/>
      <c r="I306" s="7"/>
      <c r="J306" s="87"/>
      <c r="K306" s="7"/>
      <c r="L306" s="7"/>
      <c r="M306" s="7"/>
      <c r="N306" s="7"/>
    </row>
    <row r="307" spans="1:14" ht="12.75">
      <c r="A307" s="7"/>
      <c r="B307" s="7"/>
      <c r="C307" s="7"/>
      <c r="D307" s="7"/>
      <c r="E307" s="7"/>
      <c r="F307" s="7"/>
      <c r="G307" s="7"/>
      <c r="H307" s="7"/>
      <c r="I307" s="7"/>
      <c r="J307" s="87"/>
      <c r="K307" s="7"/>
      <c r="L307" s="7"/>
      <c r="M307" s="7"/>
      <c r="N307" s="7"/>
    </row>
    <row r="308" spans="1:14" ht="12.75">
      <c r="A308" s="7"/>
      <c r="B308" s="7"/>
      <c r="C308" s="7"/>
      <c r="D308" s="7"/>
      <c r="E308" s="7"/>
      <c r="F308" s="7"/>
      <c r="G308" s="7"/>
      <c r="H308" s="7"/>
      <c r="I308" s="7"/>
      <c r="J308" s="87"/>
      <c r="K308" s="7"/>
      <c r="L308" s="7"/>
      <c r="M308" s="7"/>
      <c r="N308" s="7"/>
    </row>
    <row r="309" spans="1:14" ht="12.75">
      <c r="A309" s="7"/>
      <c r="B309" s="7"/>
      <c r="C309" s="7"/>
      <c r="D309" s="7"/>
      <c r="E309" s="7"/>
      <c r="F309" s="7"/>
      <c r="G309" s="7"/>
      <c r="H309" s="7"/>
      <c r="I309" s="7"/>
      <c r="J309" s="87"/>
      <c r="K309" s="7"/>
      <c r="L309" s="7"/>
      <c r="M309" s="7"/>
      <c r="N309" s="7"/>
    </row>
    <row r="310" spans="1:14" ht="12.75">
      <c r="A310" s="7"/>
      <c r="B310" s="7"/>
      <c r="C310" s="7"/>
      <c r="D310" s="7"/>
      <c r="E310" s="7"/>
      <c r="F310" s="7"/>
      <c r="G310" s="7"/>
      <c r="H310" s="7"/>
      <c r="I310" s="7"/>
      <c r="J310" s="87"/>
      <c r="K310" s="7"/>
      <c r="L310" s="7"/>
      <c r="M310" s="7"/>
      <c r="N310" s="7"/>
    </row>
    <row r="311" spans="1:14" ht="12.75">
      <c r="A311" s="7"/>
      <c r="B311" s="7"/>
      <c r="C311" s="7"/>
      <c r="D311" s="7"/>
      <c r="E311" s="7"/>
      <c r="F311" s="7"/>
      <c r="G311" s="7"/>
      <c r="H311" s="7"/>
      <c r="I311" s="7"/>
      <c r="J311" s="87"/>
      <c r="K311" s="7"/>
      <c r="L311" s="7"/>
      <c r="M311" s="7"/>
      <c r="N311" s="7"/>
    </row>
    <row r="312" spans="1:14" ht="12.75">
      <c r="A312" s="7"/>
      <c r="B312" s="7"/>
      <c r="C312" s="7"/>
      <c r="D312" s="7"/>
      <c r="E312" s="7"/>
      <c r="F312" s="7"/>
      <c r="G312" s="7"/>
      <c r="H312" s="7"/>
      <c r="I312" s="7"/>
      <c r="J312" s="87"/>
      <c r="K312" s="7"/>
      <c r="L312" s="7"/>
      <c r="M312" s="7"/>
      <c r="N312" s="7"/>
    </row>
    <row r="313" spans="1:14" ht="12.75">
      <c r="A313" s="7"/>
      <c r="B313" s="7"/>
      <c r="C313" s="7"/>
      <c r="D313" s="7"/>
      <c r="E313" s="7"/>
      <c r="F313" s="7"/>
      <c r="G313" s="7"/>
      <c r="H313" s="7"/>
      <c r="I313" s="7"/>
      <c r="J313" s="87"/>
      <c r="K313" s="7"/>
      <c r="L313" s="7"/>
      <c r="M313" s="7"/>
      <c r="N313" s="7"/>
    </row>
    <row r="314" spans="1:14" ht="12.75">
      <c r="A314" s="7"/>
      <c r="B314" s="7"/>
      <c r="C314" s="7"/>
      <c r="D314" s="7"/>
      <c r="E314" s="7"/>
      <c r="F314" s="7"/>
      <c r="G314" s="7"/>
      <c r="H314" s="7"/>
      <c r="I314" s="7"/>
      <c r="J314" s="87"/>
      <c r="K314" s="7"/>
      <c r="L314" s="7"/>
      <c r="M314" s="7"/>
      <c r="N314" s="7"/>
    </row>
    <row r="315" spans="1:14" ht="12.75">
      <c r="A315" s="7"/>
      <c r="B315" s="7"/>
      <c r="C315" s="7"/>
      <c r="D315" s="7"/>
      <c r="E315" s="7"/>
      <c r="F315" s="7"/>
      <c r="G315" s="7"/>
      <c r="H315" s="7"/>
      <c r="I315" s="7"/>
      <c r="J315" s="87"/>
      <c r="K315" s="7"/>
      <c r="L315" s="7"/>
      <c r="M315" s="7"/>
      <c r="N315" s="7"/>
    </row>
    <row r="316" spans="1:14" ht="12.75">
      <c r="A316" s="7"/>
      <c r="B316" s="7"/>
      <c r="C316" s="7"/>
      <c r="D316" s="7"/>
      <c r="E316" s="7"/>
      <c r="F316" s="7"/>
      <c r="G316" s="7"/>
      <c r="H316" s="7"/>
      <c r="I316" s="7"/>
      <c r="J316" s="87"/>
      <c r="K316" s="7"/>
      <c r="L316" s="7"/>
      <c r="M316" s="7"/>
      <c r="N316" s="7"/>
    </row>
    <row r="317" spans="1:14" ht="12.75">
      <c r="A317" s="7"/>
      <c r="B317" s="7"/>
      <c r="C317" s="7"/>
      <c r="D317" s="7"/>
      <c r="E317" s="7"/>
      <c r="F317" s="7"/>
      <c r="G317" s="7"/>
      <c r="H317" s="7"/>
      <c r="I317" s="7"/>
      <c r="J317" s="87"/>
      <c r="K317" s="7"/>
      <c r="L317" s="7"/>
      <c r="M317" s="7"/>
      <c r="N317" s="7"/>
    </row>
    <row r="318" spans="1:14" ht="12.75">
      <c r="A318" s="7"/>
      <c r="B318" s="7"/>
      <c r="C318" s="7"/>
      <c r="D318" s="7"/>
      <c r="E318" s="7"/>
      <c r="F318" s="7"/>
      <c r="G318" s="7"/>
      <c r="H318" s="7"/>
      <c r="I318" s="7"/>
      <c r="J318" s="87"/>
      <c r="K318" s="7"/>
      <c r="L318" s="7"/>
      <c r="M318" s="7"/>
      <c r="N318" s="7"/>
    </row>
    <row r="319" spans="1:14" ht="12.75">
      <c r="A319" s="7"/>
      <c r="B319" s="7"/>
      <c r="C319" s="7"/>
      <c r="D319" s="7"/>
      <c r="E319" s="7"/>
      <c r="F319" s="7"/>
      <c r="G319" s="7"/>
      <c r="H319" s="7"/>
      <c r="I319" s="7"/>
      <c r="J319" s="87"/>
      <c r="K319" s="7"/>
      <c r="L319" s="7"/>
      <c r="M319" s="7"/>
      <c r="N319" s="7"/>
    </row>
    <row r="320" spans="1:14" ht="12.75">
      <c r="A320" s="7"/>
      <c r="B320" s="7"/>
      <c r="C320" s="7"/>
      <c r="D320" s="7"/>
      <c r="E320" s="7"/>
      <c r="F320" s="7"/>
      <c r="G320" s="7"/>
      <c r="H320" s="7"/>
      <c r="I320" s="7"/>
      <c r="J320" s="87"/>
      <c r="K320" s="7"/>
      <c r="L320" s="7"/>
      <c r="M320" s="7"/>
      <c r="N320" s="7"/>
    </row>
    <row r="321" spans="1:14" ht="12.75">
      <c r="A321" s="7"/>
      <c r="B321" s="7"/>
      <c r="C321" s="7"/>
      <c r="D321" s="7"/>
      <c r="E321" s="7"/>
      <c r="F321" s="7"/>
      <c r="G321" s="7"/>
      <c r="H321" s="7"/>
      <c r="I321" s="7"/>
      <c r="J321" s="87"/>
      <c r="K321" s="7"/>
      <c r="L321" s="7"/>
      <c r="M321" s="7"/>
      <c r="N321" s="7"/>
    </row>
    <row r="322" spans="1:14" ht="12.75">
      <c r="A322" s="7"/>
      <c r="B322" s="7"/>
      <c r="C322" s="7"/>
      <c r="D322" s="7"/>
      <c r="E322" s="7"/>
      <c r="F322" s="7"/>
      <c r="G322" s="7"/>
      <c r="H322" s="7"/>
      <c r="I322" s="7"/>
      <c r="J322" s="87"/>
      <c r="K322" s="7"/>
      <c r="L322" s="7"/>
      <c r="M322" s="7"/>
      <c r="N322" s="7"/>
    </row>
    <row r="323" spans="1:14" ht="12.75">
      <c r="A323" s="7"/>
      <c r="B323" s="7"/>
      <c r="C323" s="7"/>
      <c r="D323" s="7"/>
      <c r="E323" s="7"/>
      <c r="F323" s="7"/>
      <c r="G323" s="7"/>
      <c r="H323" s="7"/>
      <c r="I323" s="7"/>
      <c r="J323" s="87"/>
      <c r="K323" s="7"/>
      <c r="L323" s="7"/>
      <c r="M323" s="7"/>
      <c r="N323" s="7"/>
    </row>
    <row r="324" spans="1:14" ht="12.75">
      <c r="A324" s="7"/>
      <c r="B324" s="7"/>
      <c r="C324" s="7"/>
      <c r="D324" s="7"/>
      <c r="E324" s="7"/>
      <c r="F324" s="7"/>
      <c r="G324" s="7"/>
      <c r="H324" s="7"/>
      <c r="I324" s="7"/>
      <c r="J324" s="87"/>
      <c r="K324" s="7"/>
      <c r="L324" s="7"/>
      <c r="M324" s="7"/>
      <c r="N324" s="7"/>
    </row>
    <row r="325" spans="1:14" ht="12.75">
      <c r="A325" s="7"/>
      <c r="B325" s="7"/>
      <c r="C325" s="7"/>
      <c r="D325" s="7"/>
      <c r="E325" s="7"/>
      <c r="F325" s="7"/>
      <c r="G325" s="7"/>
      <c r="H325" s="7"/>
      <c r="I325" s="7"/>
      <c r="J325" s="87"/>
      <c r="K325" s="7"/>
      <c r="L325" s="7"/>
      <c r="M325" s="7"/>
      <c r="N325" s="7"/>
    </row>
    <row r="326" spans="1:14" ht="12.75">
      <c r="A326" s="7"/>
      <c r="B326" s="7"/>
      <c r="C326" s="7"/>
      <c r="D326" s="7"/>
      <c r="E326" s="7"/>
      <c r="F326" s="7"/>
      <c r="G326" s="7"/>
      <c r="H326" s="7"/>
      <c r="I326" s="7"/>
      <c r="J326" s="87"/>
      <c r="K326" s="7"/>
      <c r="L326" s="7"/>
      <c r="M326" s="7"/>
      <c r="N326" s="7"/>
    </row>
    <row r="327" spans="1:14" ht="12.75">
      <c r="A327" s="7"/>
      <c r="B327" s="7"/>
      <c r="C327" s="7"/>
      <c r="D327" s="7"/>
      <c r="E327" s="7"/>
      <c r="F327" s="7"/>
      <c r="G327" s="7"/>
      <c r="H327" s="7"/>
      <c r="I327" s="7"/>
      <c r="J327" s="87"/>
      <c r="K327" s="7"/>
      <c r="L327" s="7"/>
      <c r="M327" s="7"/>
      <c r="N327" s="7"/>
    </row>
    <row r="328" spans="1:14" ht="12.75">
      <c r="A328" s="7"/>
      <c r="B328" s="7"/>
      <c r="C328" s="7"/>
      <c r="D328" s="7"/>
      <c r="E328" s="7"/>
      <c r="F328" s="7"/>
      <c r="G328" s="7"/>
      <c r="H328" s="7"/>
      <c r="I328" s="7"/>
      <c r="J328" s="87"/>
      <c r="K328" s="7"/>
      <c r="L328" s="7"/>
      <c r="M328" s="7"/>
      <c r="N328" s="7"/>
    </row>
    <row r="329" spans="1:14" ht="12.75">
      <c r="A329" s="7"/>
      <c r="B329" s="7"/>
      <c r="C329" s="7"/>
      <c r="D329" s="7"/>
      <c r="E329" s="7"/>
      <c r="F329" s="7"/>
      <c r="G329" s="7"/>
      <c r="H329" s="7"/>
      <c r="I329" s="7"/>
      <c r="J329" s="87"/>
      <c r="K329" s="7"/>
      <c r="L329" s="7"/>
      <c r="M329" s="7"/>
      <c r="N329" s="7"/>
    </row>
    <row r="330" spans="1:14" ht="12.75">
      <c r="A330" s="7"/>
      <c r="B330" s="7"/>
      <c r="C330" s="7"/>
      <c r="D330" s="7"/>
      <c r="E330" s="7"/>
      <c r="F330" s="7"/>
      <c r="G330" s="7"/>
      <c r="H330" s="7"/>
      <c r="I330" s="7"/>
      <c r="J330" s="87"/>
      <c r="K330" s="7"/>
      <c r="L330" s="7"/>
      <c r="M330" s="7"/>
      <c r="N330" s="7"/>
    </row>
    <row r="331" spans="1:14" ht="12.75">
      <c r="A331" s="7"/>
      <c r="B331" s="7"/>
      <c r="C331" s="7"/>
      <c r="D331" s="7"/>
      <c r="E331" s="7"/>
      <c r="F331" s="7"/>
      <c r="G331" s="7"/>
      <c r="H331" s="7"/>
      <c r="I331" s="7"/>
      <c r="J331" s="87"/>
      <c r="K331" s="7"/>
      <c r="L331" s="7"/>
      <c r="M331" s="7"/>
      <c r="N331" s="7"/>
    </row>
    <row r="332" spans="1:14" ht="12.75">
      <c r="A332" s="7"/>
      <c r="B332" s="7"/>
      <c r="C332" s="7"/>
      <c r="D332" s="7"/>
      <c r="E332" s="7"/>
      <c r="F332" s="7"/>
      <c r="G332" s="7"/>
      <c r="H332" s="7"/>
      <c r="I332" s="7"/>
      <c r="J332" s="87"/>
      <c r="K332" s="7"/>
      <c r="L332" s="7"/>
      <c r="M332" s="7"/>
      <c r="N332" s="7"/>
    </row>
    <row r="333" spans="1:14" ht="12.75">
      <c r="A333" s="7"/>
      <c r="B333" s="7"/>
      <c r="C333" s="7"/>
      <c r="D333" s="7"/>
      <c r="E333" s="7"/>
      <c r="F333" s="7"/>
      <c r="G333" s="7"/>
      <c r="H333" s="7"/>
      <c r="I333" s="7"/>
      <c r="J333" s="87"/>
      <c r="K333" s="7"/>
      <c r="L333" s="7"/>
      <c r="M333" s="7"/>
      <c r="N333" s="7"/>
    </row>
    <row r="334" spans="1:14" ht="12.75">
      <c r="A334" s="7"/>
      <c r="B334" s="7"/>
      <c r="C334" s="7"/>
      <c r="D334" s="7"/>
      <c r="E334" s="7"/>
      <c r="F334" s="7"/>
      <c r="G334" s="7"/>
      <c r="H334" s="7"/>
      <c r="I334" s="7"/>
      <c r="J334" s="87"/>
      <c r="K334" s="7"/>
      <c r="L334" s="7"/>
      <c r="M334" s="7"/>
      <c r="N334" s="7"/>
    </row>
    <row r="335" spans="1:14" ht="12.75">
      <c r="A335" s="7"/>
      <c r="B335" s="7"/>
      <c r="C335" s="7"/>
      <c r="D335" s="7"/>
      <c r="E335" s="7"/>
      <c r="F335" s="7"/>
      <c r="G335" s="7"/>
      <c r="H335" s="7"/>
      <c r="I335" s="7"/>
      <c r="J335" s="87"/>
      <c r="K335" s="7"/>
      <c r="L335" s="7"/>
      <c r="M335" s="7"/>
      <c r="N335" s="7"/>
    </row>
    <row r="336" spans="1:14" ht="12.75">
      <c r="A336" s="7"/>
      <c r="B336" s="7"/>
      <c r="C336" s="7"/>
      <c r="D336" s="7"/>
      <c r="E336" s="7"/>
      <c r="F336" s="7"/>
      <c r="G336" s="7"/>
      <c r="H336" s="7"/>
      <c r="I336" s="7"/>
      <c r="J336" s="87"/>
      <c r="K336" s="7"/>
      <c r="L336" s="7"/>
      <c r="M336" s="7"/>
      <c r="N336" s="7"/>
    </row>
    <row r="337" spans="1:14" ht="12.75">
      <c r="A337" s="7"/>
      <c r="B337" s="7"/>
      <c r="C337" s="7"/>
      <c r="D337" s="7"/>
      <c r="E337" s="7"/>
      <c r="F337" s="7"/>
      <c r="G337" s="7"/>
      <c r="H337" s="7"/>
      <c r="I337" s="7"/>
      <c r="J337" s="87"/>
      <c r="K337" s="7"/>
      <c r="L337" s="7"/>
      <c r="M337" s="7"/>
      <c r="N337" s="7"/>
    </row>
    <row r="338" spans="1:14" ht="12.75">
      <c r="A338" s="7"/>
      <c r="B338" s="7"/>
      <c r="C338" s="7"/>
      <c r="D338" s="7"/>
      <c r="E338" s="7"/>
      <c r="F338" s="7"/>
      <c r="G338" s="7"/>
      <c r="H338" s="7"/>
      <c r="I338" s="7"/>
      <c r="J338" s="87"/>
      <c r="K338" s="7"/>
      <c r="L338" s="7"/>
      <c r="M338" s="7"/>
      <c r="N338" s="7"/>
    </row>
    <row r="339" spans="1:14" ht="12.75">
      <c r="A339" s="7"/>
      <c r="B339" s="7"/>
      <c r="C339" s="7"/>
      <c r="D339" s="7"/>
      <c r="E339" s="7"/>
      <c r="F339" s="7"/>
      <c r="G339" s="7"/>
      <c r="H339" s="7"/>
      <c r="I339" s="7"/>
      <c r="J339" s="87"/>
      <c r="K339" s="7"/>
      <c r="L339" s="7"/>
      <c r="M339" s="7"/>
      <c r="N339" s="7"/>
    </row>
    <row r="340" spans="1:14" ht="12.75">
      <c r="A340" s="7"/>
      <c r="B340" s="7"/>
      <c r="C340" s="7"/>
      <c r="D340" s="7"/>
      <c r="E340" s="7"/>
      <c r="F340" s="7"/>
      <c r="G340" s="7"/>
      <c r="H340" s="7"/>
      <c r="I340" s="7"/>
      <c r="J340" s="87"/>
      <c r="K340" s="7"/>
      <c r="L340" s="7"/>
      <c r="M340" s="7"/>
      <c r="N340" s="7"/>
    </row>
    <row r="341" spans="1:14" ht="12.75">
      <c r="A341" s="7"/>
      <c r="B341" s="7"/>
      <c r="C341" s="7"/>
      <c r="D341" s="7"/>
      <c r="E341" s="7"/>
      <c r="F341" s="7"/>
      <c r="G341" s="7"/>
      <c r="H341" s="7"/>
      <c r="I341" s="7"/>
      <c r="J341" s="87"/>
      <c r="K341" s="7"/>
      <c r="L341" s="7"/>
      <c r="M341" s="7"/>
      <c r="N341" s="7"/>
    </row>
    <row r="342" spans="1:14" ht="12.75">
      <c r="A342" s="7"/>
      <c r="B342" s="7"/>
      <c r="C342" s="7"/>
      <c r="D342" s="7"/>
      <c r="E342" s="7"/>
      <c r="F342" s="7"/>
      <c r="G342" s="7"/>
      <c r="H342" s="7"/>
      <c r="I342" s="7"/>
      <c r="J342" s="87"/>
      <c r="K342" s="7"/>
      <c r="L342" s="7"/>
      <c r="M342" s="7"/>
      <c r="N342" s="7"/>
    </row>
    <row r="343" spans="1:14" ht="12.75">
      <c r="A343" s="7"/>
      <c r="B343" s="7"/>
      <c r="C343" s="7"/>
      <c r="D343" s="7"/>
      <c r="E343" s="7"/>
      <c r="F343" s="7"/>
      <c r="G343" s="7"/>
      <c r="H343" s="7"/>
      <c r="I343" s="7"/>
      <c r="J343" s="87"/>
      <c r="K343" s="7"/>
      <c r="L343" s="7"/>
      <c r="M343" s="7"/>
      <c r="N343" s="7"/>
    </row>
    <row r="344" spans="1:14" ht="12.75">
      <c r="A344" s="7"/>
      <c r="B344" s="7"/>
      <c r="C344" s="7"/>
      <c r="D344" s="7"/>
      <c r="E344" s="7"/>
      <c r="F344" s="7"/>
      <c r="G344" s="7"/>
      <c r="H344" s="7"/>
      <c r="I344" s="7"/>
      <c r="J344" s="87"/>
      <c r="K344" s="7"/>
      <c r="L344" s="7"/>
      <c r="M344" s="7"/>
      <c r="N344" s="7"/>
    </row>
    <row r="345" spans="1:14" ht="12.75">
      <c r="A345" s="7"/>
      <c r="B345" s="7"/>
      <c r="C345" s="7"/>
      <c r="D345" s="7"/>
      <c r="E345" s="7"/>
      <c r="F345" s="7"/>
      <c r="G345" s="7"/>
      <c r="H345" s="7"/>
      <c r="I345" s="7"/>
      <c r="J345" s="87"/>
      <c r="K345" s="7"/>
      <c r="L345" s="7"/>
      <c r="M345" s="7"/>
      <c r="N345" s="7"/>
    </row>
    <row r="346" spans="1:14" ht="12.75">
      <c r="A346" s="7"/>
      <c r="B346" s="7"/>
      <c r="C346" s="7"/>
      <c r="D346" s="7"/>
      <c r="E346" s="7"/>
      <c r="F346" s="7"/>
      <c r="G346" s="7"/>
      <c r="H346" s="7"/>
      <c r="I346" s="7"/>
      <c r="J346" s="87"/>
      <c r="K346" s="7"/>
      <c r="L346" s="7"/>
      <c r="M346" s="7"/>
      <c r="N346" s="7"/>
    </row>
    <row r="347" spans="1:14" ht="12.75">
      <c r="A347" s="7"/>
      <c r="B347" s="7"/>
      <c r="C347" s="7"/>
      <c r="D347" s="7"/>
      <c r="E347" s="7"/>
      <c r="F347" s="7"/>
      <c r="G347" s="7"/>
      <c r="H347" s="7"/>
      <c r="I347" s="7"/>
      <c r="J347" s="87"/>
      <c r="K347" s="7"/>
      <c r="L347" s="7"/>
      <c r="M347" s="7"/>
      <c r="N347" s="7"/>
    </row>
    <row r="348" spans="1:14" ht="12.75">
      <c r="A348" s="7"/>
      <c r="B348" s="7"/>
      <c r="C348" s="7"/>
      <c r="D348" s="7"/>
      <c r="E348" s="7"/>
      <c r="F348" s="7"/>
      <c r="G348" s="7"/>
      <c r="H348" s="7"/>
      <c r="I348" s="7"/>
      <c r="J348" s="87"/>
      <c r="K348" s="7"/>
      <c r="L348" s="7"/>
      <c r="M348" s="7"/>
      <c r="N348" s="7"/>
    </row>
    <row r="349" spans="1:14" ht="12.75">
      <c r="A349" s="7"/>
      <c r="B349" s="7"/>
      <c r="C349" s="7"/>
      <c r="D349" s="7"/>
      <c r="E349" s="7"/>
      <c r="F349" s="7"/>
      <c r="G349" s="7"/>
      <c r="H349" s="7"/>
      <c r="I349" s="7"/>
      <c r="J349" s="87"/>
      <c r="K349" s="7"/>
      <c r="L349" s="7"/>
      <c r="M349" s="7"/>
      <c r="N349" s="7"/>
    </row>
    <row r="350" spans="1:14" ht="12.75">
      <c r="A350" s="7"/>
      <c r="B350" s="7"/>
      <c r="C350" s="7"/>
      <c r="D350" s="7"/>
      <c r="E350" s="7"/>
      <c r="F350" s="7"/>
      <c r="G350" s="7"/>
      <c r="H350" s="7"/>
      <c r="I350" s="7"/>
      <c r="J350" s="87"/>
      <c r="K350" s="7"/>
      <c r="L350" s="7"/>
      <c r="M350" s="7"/>
      <c r="N350" s="7"/>
    </row>
    <row r="351" spans="1:14" ht="12.75">
      <c r="A351" s="7"/>
      <c r="B351" s="7"/>
      <c r="C351" s="7"/>
      <c r="D351" s="7"/>
      <c r="E351" s="7"/>
      <c r="F351" s="7"/>
      <c r="G351" s="7"/>
      <c r="H351" s="7"/>
      <c r="I351" s="7"/>
      <c r="J351" s="87"/>
      <c r="K351" s="7"/>
      <c r="L351" s="7"/>
      <c r="M351" s="7"/>
      <c r="N351" s="7"/>
    </row>
    <row r="352" spans="1:14" ht="12.75">
      <c r="A352" s="7"/>
      <c r="B352" s="7"/>
      <c r="C352" s="7"/>
      <c r="D352" s="7"/>
      <c r="E352" s="7"/>
      <c r="F352" s="7"/>
      <c r="G352" s="7"/>
      <c r="H352" s="7"/>
      <c r="I352" s="7"/>
      <c r="J352" s="87"/>
      <c r="K352" s="7"/>
      <c r="L352" s="7"/>
      <c r="M352" s="7"/>
      <c r="N352" s="7"/>
    </row>
    <row r="353" spans="1:14" ht="12.75">
      <c r="A353" s="7"/>
      <c r="B353" s="7"/>
      <c r="C353" s="7"/>
      <c r="D353" s="7"/>
      <c r="E353" s="7"/>
      <c r="F353" s="7"/>
      <c r="G353" s="7"/>
      <c r="H353" s="7"/>
      <c r="I353" s="7"/>
      <c r="J353" s="87"/>
      <c r="K353" s="7"/>
      <c r="L353" s="7"/>
      <c r="M353" s="7"/>
      <c r="N353" s="7"/>
    </row>
    <row r="354" spans="1:14" ht="12.75">
      <c r="A354" s="7"/>
      <c r="B354" s="7"/>
      <c r="C354" s="7"/>
      <c r="D354" s="7"/>
      <c r="E354" s="7"/>
      <c r="F354" s="7"/>
      <c r="G354" s="7"/>
      <c r="H354" s="7"/>
      <c r="I354" s="7"/>
      <c r="J354" s="87"/>
      <c r="K354" s="7"/>
      <c r="L354" s="7"/>
      <c r="M354" s="7"/>
      <c r="N354" s="7"/>
    </row>
    <row r="355" spans="1:14" ht="12.75">
      <c r="A355" s="7"/>
      <c r="B355" s="7"/>
      <c r="C355" s="7"/>
      <c r="D355" s="7"/>
      <c r="E355" s="7"/>
      <c r="F355" s="7"/>
      <c r="G355" s="7"/>
      <c r="H355" s="7"/>
      <c r="I355" s="7"/>
      <c r="J355" s="87"/>
      <c r="K355" s="7"/>
      <c r="L355" s="7"/>
      <c r="M355" s="7"/>
      <c r="N355" s="7"/>
    </row>
    <row r="356" spans="1:14" ht="12.75">
      <c r="A356" s="7"/>
      <c r="B356" s="7"/>
      <c r="C356" s="7"/>
      <c r="D356" s="7"/>
      <c r="E356" s="7"/>
      <c r="F356" s="7"/>
      <c r="G356" s="7"/>
      <c r="H356" s="7"/>
      <c r="I356" s="7"/>
      <c r="J356" s="87"/>
      <c r="K356" s="7"/>
      <c r="L356" s="7"/>
      <c r="M356" s="7"/>
      <c r="N356" s="7"/>
    </row>
    <row r="357" spans="1:14" ht="12.75">
      <c r="A357" s="7"/>
      <c r="B357" s="7"/>
      <c r="C357" s="7"/>
      <c r="D357" s="7"/>
      <c r="E357" s="7"/>
      <c r="F357" s="7"/>
      <c r="G357" s="7"/>
      <c r="H357" s="7"/>
      <c r="I357" s="7"/>
      <c r="J357" s="87"/>
      <c r="K357" s="7"/>
      <c r="L357" s="7"/>
      <c r="M357" s="7"/>
      <c r="N357" s="7"/>
    </row>
  </sheetData>
  <sheetProtection password="C596" sheet="1" objects="1" scenarios="1"/>
  <printOptions horizontalCentered="1"/>
  <pageMargins left="0.75" right="0.75" top="1.5" bottom="0.75" header="0.5" footer="0.5"/>
  <pageSetup horizontalDpi="300" verticalDpi="300" orientation="landscape" r:id="rId3"/>
  <headerFooter alignWithMargins="0">
    <oddHeader>&amp;CLDEQ RECAP
WORKSHEET I5
SOILi
(mg/kg)</oddHeader>
    <oddFooter>&amp;CWI5 - &amp;P</oddFooter>
  </headerFooter>
  <rowBreaks count="1" manualBreakCount="1">
    <brk id="155" max="6553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8"/>
  <sheetViews>
    <sheetView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3" sqref="B13"/>
    </sheetView>
  </sheetViews>
  <sheetFormatPr defaultColWidth="9.140625" defaultRowHeight="12.75"/>
  <cols>
    <col min="1" max="1" width="27.421875" style="37" customWidth="1"/>
    <col min="2" max="3" width="8.8515625" style="37" customWidth="1"/>
    <col min="4" max="4" width="12.00390625" style="37" customWidth="1"/>
    <col min="5" max="5" width="13.28125" style="37" customWidth="1"/>
    <col min="6" max="6" width="8.00390625" style="37" customWidth="1"/>
    <col min="7" max="16384" width="7.8515625" style="37" customWidth="1"/>
  </cols>
  <sheetData>
    <row r="1" spans="1:13" ht="12.75">
      <c r="A1" s="232" t="str">
        <f>Soilni!$A$1</f>
        <v>Appendix I</v>
      </c>
      <c r="B1" s="232"/>
      <c r="C1" s="232"/>
      <c r="D1" s="194" t="s">
        <v>331</v>
      </c>
      <c r="E1" s="230"/>
      <c r="F1" s="230"/>
      <c r="G1" s="9"/>
      <c r="H1" s="9"/>
      <c r="I1" s="9"/>
      <c r="J1" s="7"/>
      <c r="K1" s="7"/>
      <c r="L1" s="7"/>
      <c r="M1" s="7"/>
    </row>
    <row r="2" spans="1:13" ht="12.75">
      <c r="A2" s="195" t="str">
        <f>Soilni!$A$2</f>
        <v>Revision Date: 08/04/2003</v>
      </c>
      <c r="B2" s="123"/>
      <c r="C2" s="218" t="str">
        <f>Soilni!$B$2</f>
        <v>Run date:</v>
      </c>
      <c r="D2" s="219">
        <f>Soilni!$C$2</f>
        <v>37932</v>
      </c>
      <c r="E2" s="123"/>
      <c r="F2" s="230"/>
      <c r="G2" s="9"/>
      <c r="H2" s="9"/>
      <c r="I2" s="9"/>
      <c r="J2" s="7"/>
      <c r="K2" s="7"/>
      <c r="L2" s="7"/>
      <c r="M2" s="7"/>
    </row>
    <row r="3" spans="1:13" ht="12.75">
      <c r="A3" s="230"/>
      <c r="B3" s="230"/>
      <c r="C3" s="230"/>
      <c r="D3" s="230"/>
      <c r="E3" s="230"/>
      <c r="F3" s="230"/>
      <c r="G3" s="9"/>
      <c r="H3" s="9"/>
      <c r="I3" s="9"/>
      <c r="J3" s="7"/>
      <c r="K3" s="7"/>
      <c r="L3" s="7"/>
      <c r="M3" s="7"/>
    </row>
    <row r="4" spans="1:13" ht="12.75">
      <c r="A4" s="232" t="s">
        <v>332</v>
      </c>
      <c r="B4" s="230"/>
      <c r="C4" s="230"/>
      <c r="D4" s="230"/>
      <c r="E4" s="230"/>
      <c r="F4" s="230"/>
      <c r="G4" s="9"/>
      <c r="H4" s="9"/>
      <c r="I4" s="9"/>
      <c r="J4" s="7"/>
      <c r="K4" s="7"/>
      <c r="L4" s="7"/>
      <c r="M4" s="7"/>
    </row>
    <row r="5" spans="1:13" ht="12.75">
      <c r="A5" s="232" t="s">
        <v>333</v>
      </c>
      <c r="B5" s="230"/>
      <c r="C5" s="230"/>
      <c r="D5" s="230"/>
      <c r="E5" s="230"/>
      <c r="F5" s="230"/>
      <c r="G5" s="9"/>
      <c r="H5" s="9"/>
      <c r="I5" s="9"/>
      <c r="J5" s="7"/>
      <c r="K5" s="7"/>
      <c r="L5" s="7"/>
      <c r="M5" s="7"/>
    </row>
    <row r="6" spans="1:13" ht="12.75">
      <c r="A6" s="232" t="s">
        <v>334</v>
      </c>
      <c r="B6" s="230"/>
      <c r="C6" s="230"/>
      <c r="D6" s="230"/>
      <c r="E6" s="230"/>
      <c r="F6" s="230"/>
      <c r="G6" s="9"/>
      <c r="H6" s="9"/>
      <c r="I6" s="9"/>
      <c r="J6" s="7"/>
      <c r="K6" s="7"/>
      <c r="L6" s="7"/>
      <c r="M6" s="7"/>
    </row>
    <row r="7" spans="1:13" ht="12.75">
      <c r="A7" s="232" t="s">
        <v>335</v>
      </c>
      <c r="B7" s="230"/>
      <c r="C7" s="230"/>
      <c r="D7" s="230"/>
      <c r="E7" s="230"/>
      <c r="F7" s="230"/>
      <c r="G7" s="9"/>
      <c r="H7" s="9"/>
      <c r="I7" s="9"/>
      <c r="J7" s="7"/>
      <c r="K7" s="7"/>
      <c r="L7" s="7"/>
      <c r="M7" s="7"/>
    </row>
    <row r="8" spans="1:13" ht="12.75">
      <c r="A8" s="230"/>
      <c r="B8" s="230"/>
      <c r="C8" s="230"/>
      <c r="D8" s="230"/>
      <c r="E8" s="230"/>
      <c r="F8" s="230"/>
      <c r="G8" s="9"/>
      <c r="H8" s="9"/>
      <c r="I8" s="9"/>
      <c r="J8" s="7"/>
      <c r="K8" s="7"/>
      <c r="L8" s="7"/>
      <c r="M8" s="7"/>
    </row>
    <row r="9" spans="1:13" ht="12.75">
      <c r="A9" s="230" t="s">
        <v>336</v>
      </c>
      <c r="B9" s="230"/>
      <c r="C9" s="230"/>
      <c r="D9" s="230"/>
      <c r="E9" s="230"/>
      <c r="F9" s="230"/>
      <c r="G9" s="9"/>
      <c r="H9" s="9"/>
      <c r="I9" s="9"/>
      <c r="J9" s="7"/>
      <c r="K9" s="7"/>
      <c r="L9" s="7"/>
      <c r="M9" s="7"/>
    </row>
    <row r="10" spans="1:13" ht="12.75">
      <c r="A10" s="230"/>
      <c r="B10" s="230"/>
      <c r="C10" s="230"/>
      <c r="D10" s="230"/>
      <c r="E10" s="230"/>
      <c r="F10" s="230"/>
      <c r="G10" s="9"/>
      <c r="H10" s="9"/>
      <c r="I10" s="9"/>
      <c r="J10" s="7"/>
      <c r="K10" s="7"/>
      <c r="L10" s="7"/>
      <c r="M10" s="7"/>
    </row>
    <row r="11" spans="1:13" ht="12.75">
      <c r="A11" s="236"/>
      <c r="B11" s="158" t="s">
        <v>337</v>
      </c>
      <c r="C11" s="158" t="s">
        <v>338</v>
      </c>
      <c r="D11" s="158" t="s">
        <v>339</v>
      </c>
      <c r="E11" s="245" t="s">
        <v>340</v>
      </c>
      <c r="F11" s="246" t="s">
        <v>341</v>
      </c>
      <c r="H11" s="9"/>
      <c r="I11" s="9"/>
      <c r="J11" s="7"/>
      <c r="K11" s="7"/>
      <c r="L11" s="7"/>
      <c r="M11" s="7"/>
    </row>
    <row r="12" spans="1:13" ht="12.75">
      <c r="A12" s="247" t="str">
        <f>'SF&amp;RfD'!A1</f>
        <v>COMPOUND</v>
      </c>
      <c r="B12" s="248" t="s">
        <v>212</v>
      </c>
      <c r="C12" s="248" t="s">
        <v>212</v>
      </c>
      <c r="D12" s="248" t="s">
        <v>212</v>
      </c>
      <c r="E12" s="248" t="s">
        <v>212</v>
      </c>
      <c r="F12" s="249" t="s">
        <v>212</v>
      </c>
      <c r="H12" s="9"/>
      <c r="I12" s="9"/>
      <c r="J12" s="7"/>
      <c r="K12" s="7"/>
      <c r="L12" s="7"/>
      <c r="M12" s="7"/>
    </row>
    <row r="13" spans="1:13" ht="12.75">
      <c r="A13" s="213" t="str">
        <f>'SF&amp;RfD'!A3</f>
        <v>Acenaphthene</v>
      </c>
      <c r="B13" s="153">
        <f>DFsummers*('GW1&amp;2'!L12*(pb*'Chem&amp;Phy data'!D3*foc+nw+na*'Chem&amp;Phy data'!F3*41))/(pb)</f>
        <v>215.30730883706642</v>
      </c>
      <c r="C13" s="153">
        <f>DFsummers*('GW1&amp;2'!M12*(pb*'Chem&amp;Phy data'!D3*foc+nw+na*'Chem&amp;Phy data'!F3*41))/(pb)</f>
        <v>215.30730883706642</v>
      </c>
      <c r="D13" s="153">
        <f>DFsummers*(+MIN((IF('GW3DW'!G10*'Sd &amp; DAF Summers'!$C$40&lt;'GW1&amp;2'!J12,'GW1&amp;2'!J12,'GW3DW'!G10)),'Chem&amp;Phy data'!L3)*(pb*'Chem&amp;Phy data'!D3*foc+nw+na*'Chem&amp;Phy data'!F3*41))/pb</f>
        <v>252.06112109279061</v>
      </c>
      <c r="E13" s="153">
        <f>DFsummers*(+MIN((IF('GW3NDW'!H10*'Sd &amp; DAF Summers'!$C$40&lt;'GW1&amp;2'!J12,'GW1&amp;2'!J12,'GW3NDW'!H10)),'Chem&amp;Phy data'!L3)*(pb*'Chem&amp;Phy data'!D3*foc+nw+na*'Chem&amp;Phy data'!F3*41))/pb</f>
        <v>316.45277292387766</v>
      </c>
      <c r="F13" s="250" t="s">
        <v>83</v>
      </c>
      <c r="H13" s="9"/>
      <c r="I13" s="9"/>
      <c r="J13" s="101"/>
      <c r="K13" s="101"/>
      <c r="L13" s="101"/>
      <c r="M13" s="101"/>
    </row>
    <row r="14" spans="1:13" ht="12.75">
      <c r="A14" s="213" t="str">
        <f>'SF&amp;RfD'!A4</f>
        <v>Acenaphthylene</v>
      </c>
      <c r="B14" s="153">
        <f>DFsummers*('GW1&amp;2'!L13*(pb*'Chem&amp;Phy data'!D4*foc+nw+na*'Chem&amp;Phy data'!F4*41))/(pb)</f>
        <v>88.41501563211804</v>
      </c>
      <c r="C14" s="153">
        <f>DFsummers*('GW1&amp;2'!M13*(pb*'Chem&amp;Phy data'!D4*foc+nw+na*'Chem&amp;Phy data'!F4*41))/(pb)</f>
        <v>88.41501563211804</v>
      </c>
      <c r="D14" s="153">
        <f>DFsummers*(+MIN((IF('GW3DW'!G11*'Sd &amp; DAF Summers'!$C$40&lt;'GW1&amp;2'!J13,'GW1&amp;2'!J13,'GW3DW'!G11)),'Chem&amp;Phy data'!L4)*(pb*'Chem&amp;Phy data'!D4*foc+nw+na*'Chem&amp;Phy data'!F4*41))/pb</f>
        <v>136.21345053798473</v>
      </c>
      <c r="E14" s="153">
        <f>DFsummers*(+MIN((IF('GW3NDW'!H11*'Sd &amp; DAF Summers'!$C$40&lt;'GW1&amp;2'!J13,'GW1&amp;2'!J13,'GW3NDW'!H11)),'Chem&amp;Phy data'!L4)*(pb*'Chem&amp;Phy data'!D4*foc+nw+na*'Chem&amp;Phy data'!F4*41))/pb</f>
        <v>186.0263781437571</v>
      </c>
      <c r="F14" s="250" t="s">
        <v>83</v>
      </c>
      <c r="H14" s="9"/>
      <c r="I14" s="9"/>
      <c r="J14" s="101"/>
      <c r="K14" s="101"/>
      <c r="L14" s="101"/>
      <c r="M14" s="101"/>
    </row>
    <row r="15" spans="1:13" ht="12.75">
      <c r="A15" s="213" t="str">
        <f>'SF&amp;RfD'!A5</f>
        <v>Anthracene</v>
      </c>
      <c r="B15" s="153">
        <f>DFsummers*('GW1&amp;2'!L14*(pb*'Chem&amp;Phy data'!D5*foc+nw+na*'Chem&amp;Phy data'!F5*41))/(pb)</f>
        <v>121.24338970402898</v>
      </c>
      <c r="C15" s="153">
        <f>DFsummers*('GW1&amp;2'!M14*(pb*'Chem&amp;Phy data'!D5*foc+nw+na*'Chem&amp;Phy data'!F5*41))/(pb)</f>
        <v>121.24338970402898</v>
      </c>
      <c r="D15" s="153">
        <f>DFsummers*(+MIN((IF('GW3DW'!G12*'Sd &amp; DAF Summers'!$C$40&lt;'GW1&amp;2'!J14,'GW1&amp;2'!J14,'GW3DW'!G12)),'Chem&amp;Phy data'!L5)*(pb*'Chem&amp;Phy data'!D5*foc+nw+na*'Chem&amp;Phy data'!F5*41))/pb</f>
        <v>121.24338970402898</v>
      </c>
      <c r="E15" s="153">
        <f>DFsummers*(+MIN((IF('GW3NDW'!H12*'Sd &amp; DAF Summers'!$C$40&lt;'GW1&amp;2'!J14,'GW1&amp;2'!J14,'GW3NDW'!H12)),'Chem&amp;Phy data'!L5)*(pb*'Chem&amp;Phy data'!D5*foc+nw+na*'Chem&amp;Phy data'!F5*41))/pb</f>
        <v>121.24338970402898</v>
      </c>
      <c r="F15" s="250" t="s">
        <v>83</v>
      </c>
      <c r="H15" s="9"/>
      <c r="I15" s="9"/>
      <c r="J15" s="7"/>
      <c r="K15" s="7"/>
      <c r="L15" s="7"/>
      <c r="M15" s="7"/>
    </row>
    <row r="16" spans="1:13" ht="12.75">
      <c r="A16" s="213" t="str">
        <f>'SF&amp;RfD'!A6</f>
        <v>Benzene</v>
      </c>
      <c r="B16" s="153">
        <f>DFsummers*('GW1&amp;2'!L15*(pb*'Chem&amp;Phy data'!D6*foc+nw+na*'Chem&amp;Phy data'!F6*41))/(pb)</f>
        <v>0.051308459870377104</v>
      </c>
      <c r="C16" s="153">
        <f>DFsummers*('GW1&amp;2'!M15*(pb*'Chem&amp;Phy data'!D6*foc+nw+na*'Chem&amp;Phy data'!F6*41))/(pb)</f>
        <v>0.051308459870377104</v>
      </c>
      <c r="D16" s="153">
        <f>DFsummers*(+MIN((IF('GW3DW'!G13*'Sd &amp; DAF Summers'!$C$40&lt;'GW1&amp;2'!J15,'GW1&amp;2'!J15,'GW3DW'!G13)),'Chem&amp;Phy data'!L6)*(pb*'Chem&amp;Phy data'!D6*foc+nw+na*'Chem&amp;Phy data'!F6*41))/pb</f>
        <v>0.011287861171482965</v>
      </c>
      <c r="E16" s="153">
        <f>DFsummers*(+MIN((IF('GW3NDW'!H13*'Sd &amp; DAF Summers'!$C$40&lt;'GW1&amp;2'!J15,'GW1&amp;2'!J15,'GW3NDW'!H13)),'Chem&amp;Phy data'!L6)*(pb*'Chem&amp;Phy data'!D6*foc+nw+na*'Chem&amp;Phy data'!F6*41))/pb</f>
        <v>0.12827114967594277</v>
      </c>
      <c r="F16" s="152">
        <f>'Chem&amp;Phy data'!L6*('Chem&amp;Phy data'!D6*foc*pb+nw+'Chem&amp;Phy data'!F6*41*na)/pb</f>
        <v>898.8092938401776</v>
      </c>
      <c r="H16" s="9"/>
      <c r="I16" s="9"/>
      <c r="J16" s="7"/>
      <c r="K16" s="7"/>
      <c r="L16" s="7"/>
      <c r="M16" s="7"/>
    </row>
    <row r="17" spans="1:13" ht="12.75">
      <c r="A17" s="213" t="str">
        <f>'SF&amp;RfD'!A7</f>
        <v>Benz(a)anthracene</v>
      </c>
      <c r="B17" s="153">
        <f>DFsummers*('GW1&amp;2'!L16*(pb*'Chem&amp;Phy data'!D7*foc+nw+na*'Chem&amp;Phy data'!F7*41))/(pb)</f>
        <v>334.7675283115314</v>
      </c>
      <c r="C17" s="153">
        <f>DFsummers*('GW1&amp;2'!M16*(pb*'Chem&amp;Phy data'!D7*foc+nw+na*'Chem&amp;Phy data'!F7*41))/(pb)</f>
        <v>3.9017194441903427</v>
      </c>
      <c r="D17" s="153">
        <f>DFsummers*(+MIN((IF('GW3DW'!G14*'Sd &amp; DAF Summers'!$C$40&lt;'GW1&amp;2'!J16,'GW1&amp;2'!J16,'GW3DW'!G14)),'Chem&amp;Phy data'!L7)*(pb*'Chem&amp;Phy data'!D7*foc+nw+na*'Chem&amp;Phy data'!F7*41))/pb</f>
        <v>3.9017194441903427</v>
      </c>
      <c r="E17" s="153">
        <f>DFsummers*(+MIN((IF('GW3NDW'!H14*'Sd &amp; DAF Summers'!$C$40&lt;'GW1&amp;2'!J16,'GW1&amp;2'!J16,'GW3NDW'!H14)),'Chem&amp;Phy data'!L7)*(pb*'Chem&amp;Phy data'!D7*foc+nw+na*'Chem&amp;Phy data'!F7*41))/pb</f>
        <v>3.9017194441903427</v>
      </c>
      <c r="F17" s="250" t="s">
        <v>83</v>
      </c>
      <c r="H17" s="9"/>
      <c r="I17" s="9"/>
      <c r="J17" s="7"/>
      <c r="K17" s="7"/>
      <c r="L17" s="7"/>
      <c r="M17" s="7"/>
    </row>
    <row r="18" spans="1:13" ht="12.75">
      <c r="A18" s="213" t="str">
        <f>'SF&amp;RfD'!A8</f>
        <v>Benzo(a)pyrene</v>
      </c>
      <c r="B18" s="153">
        <f>DFsummers*('GW1&amp;2'!L17*(pb*'Chem&amp;Phy data'!D8*foc+nw+na*'Chem&amp;Phy data'!F8*41))/(pb)</f>
        <v>23.23291583983591</v>
      </c>
      <c r="C18" s="153">
        <f>DFsummers*('GW1&amp;2'!M17*(pb*'Chem&amp;Phy data'!D8*foc+nw+na*'Chem&amp;Phy data'!F8*41))/(pb)</f>
        <v>23.23291583983591</v>
      </c>
      <c r="D18" s="153">
        <f>DFsummers*(+MIN((IF('GW3DW'!G15*'Sd &amp; DAF Summers'!$C$40&lt;'GW1&amp;2'!J17,'GW1&amp;2'!J17,'GW3DW'!G15)),'Chem&amp;Phy data'!L8)*(pb*'Chem&amp;Phy data'!D8*foc+nw+na*'Chem&amp;Phy data'!F8*41))/pb</f>
        <v>23.23291583983591</v>
      </c>
      <c r="E18" s="153">
        <f>DFsummers*(+MIN((IF('GW3NDW'!H15*'Sd &amp; DAF Summers'!$C$40&lt;'GW1&amp;2'!J17,'GW1&amp;2'!J17,'GW3NDW'!H15)),'Chem&amp;Phy data'!L8)*(pb*'Chem&amp;Phy data'!D8*foc+nw+na*'Chem&amp;Phy data'!F8*41))/pb</f>
        <v>23.23291583983591</v>
      </c>
      <c r="F18" s="250" t="s">
        <v>83</v>
      </c>
      <c r="H18" s="9"/>
      <c r="I18" s="9"/>
      <c r="J18" s="7"/>
      <c r="K18" s="7"/>
      <c r="L18" s="7"/>
      <c r="M18" s="7"/>
    </row>
    <row r="19" spans="1:13" ht="12.75">
      <c r="A19" s="213" t="str">
        <f>'SF&amp;RfD'!A9</f>
        <v>Benzo(b)fluoranthene</v>
      </c>
      <c r="B19" s="153">
        <f>DFsummers*('GW1&amp;2'!L18*(pb*'Chem&amp;Phy data'!D9*foc+nw+na*'Chem&amp;Phy data'!F9*41))/(pb)</f>
        <v>221.1792505291716</v>
      </c>
      <c r="C19" s="153">
        <f>DFsummers*('GW1&amp;2'!M18*(pb*'Chem&amp;Phy data'!D9*foc+nw+na*'Chem&amp;Phy data'!F9*41))/(pb)</f>
        <v>13.404803062374034</v>
      </c>
      <c r="D19" s="153">
        <f>DFsummers*(+MIN((IF('GW3DW'!G16*'Sd &amp; DAF Summers'!$C$40&lt;'GW1&amp;2'!J18,'GW1&amp;2'!J18,'GW3DW'!G16)),'Chem&amp;Phy data'!L9)*(pb*'Chem&amp;Phy data'!D9*foc+nw+na*'Chem&amp;Phy data'!F9*41))/pb</f>
        <v>13.404803062374034</v>
      </c>
      <c r="E19" s="153">
        <f>DFsummers*(+MIN((IF('GW3NDW'!H16*'Sd &amp; DAF Summers'!$C$40&lt;'GW1&amp;2'!J18,'GW1&amp;2'!J18,'GW3NDW'!H16)),'Chem&amp;Phy data'!L9)*(pb*'Chem&amp;Phy data'!D9*foc+nw+na*'Chem&amp;Phy data'!F9*41))/pb</f>
        <v>13.404803062374034</v>
      </c>
      <c r="F19" s="250" t="s">
        <v>83</v>
      </c>
      <c r="H19" s="9"/>
      <c r="I19" s="9"/>
      <c r="J19" s="7"/>
      <c r="K19" s="7"/>
      <c r="L19" s="7"/>
      <c r="M19" s="7"/>
    </row>
    <row r="20" spans="1:13" ht="12.75">
      <c r="A20" s="213" t="str">
        <f>'SF&amp;RfD'!A10</f>
        <v>Benzo(k)fluoranthene</v>
      </c>
      <c r="B20" s="153">
        <f>DFsummers*('GW1&amp;2'!L19*(pb*'Chem&amp;Phy data'!D10*foc+nw+na*'Chem&amp;Phy data'!F10*41))/(pb)</f>
        <v>117.9622606425056</v>
      </c>
      <c r="C20" s="153">
        <f>DFsummers*('GW1&amp;2'!M19*(pb*'Chem&amp;Phy data'!D10*foc+nw+na*'Chem&amp;Phy data'!F10*41))/(pb)</f>
        <v>117.9622606425056</v>
      </c>
      <c r="D20" s="153">
        <f>DFsummers*(+MIN((IF('GW3DW'!G17*'Sd &amp; DAF Summers'!$C$40&lt;'GW1&amp;2'!J19,'GW1&amp;2'!J19,'GW3DW'!G17)),'Chem&amp;Phy data'!L10)*(pb*'Chem&amp;Phy data'!D10*foc+nw+na*'Chem&amp;Phy data'!F10*41))/pb</f>
        <v>117.9622606425056</v>
      </c>
      <c r="E20" s="153">
        <f>DFsummers*(+MIN((IF('GW3NDW'!H17*'Sd &amp; DAF Summers'!$C$40&lt;'GW1&amp;2'!J19,'GW1&amp;2'!J19,'GW3NDW'!H17)),'Chem&amp;Phy data'!L10)*(pb*'Chem&amp;Phy data'!D10*foc+nw+na*'Chem&amp;Phy data'!F10*41))/pb</f>
        <v>117.9622606425056</v>
      </c>
      <c r="F20" s="250" t="s">
        <v>83</v>
      </c>
      <c r="H20" s="9"/>
      <c r="I20" s="9"/>
      <c r="J20" s="7"/>
      <c r="K20" s="7"/>
      <c r="L20" s="7"/>
      <c r="M20" s="7"/>
    </row>
    <row r="21" spans="1:13" ht="12.75">
      <c r="A21" s="213" t="str">
        <f>'SF&amp;RfD'!A11</f>
        <v>Chrysene</v>
      </c>
      <c r="B21" s="153">
        <f>DFsummers*('GW1&amp;2'!L20*(pb*'Chem&amp;Phy data'!D11*foc+nw+na*'Chem&amp;Phy data'!F11*41))/(pb)</f>
        <v>76.34248639629871</v>
      </c>
      <c r="C21" s="153">
        <f>DFsummers*('GW1&amp;2'!M20*(pb*'Chem&amp;Phy data'!D11*foc+nw+na*'Chem&amp;Phy data'!F11*41))/(pb)</f>
        <v>76.34248639629871</v>
      </c>
      <c r="D21" s="153">
        <f>DFsummers*(+MIN((IF('GW3DW'!G18*'Sd &amp; DAF Summers'!$C$40&lt;'GW1&amp;2'!J20,'GW1&amp;2'!J20,'GW3DW'!G18)),'Chem&amp;Phy data'!L11)*(pb*'Chem&amp;Phy data'!D11*foc+nw+na*'Chem&amp;Phy data'!F11*41))/pb</f>
        <v>76.34248639629871</v>
      </c>
      <c r="E21" s="153">
        <f>DFsummers*(+MIN((IF('GW3NDW'!H18*'Sd &amp; DAF Summers'!$C$40&lt;'GW1&amp;2'!J20,'GW1&amp;2'!J20,'GW3NDW'!H18)),'Chem&amp;Phy data'!L11)*(pb*'Chem&amp;Phy data'!D11*foc+nw+na*'Chem&amp;Phy data'!F11*41))/pb</f>
        <v>76.34248639629871</v>
      </c>
      <c r="F21" s="250" t="s">
        <v>83</v>
      </c>
      <c r="H21" s="9"/>
      <c r="I21" s="9"/>
      <c r="J21" s="7"/>
      <c r="K21" s="7"/>
      <c r="L21" s="7"/>
      <c r="M21" s="7"/>
    </row>
    <row r="22" spans="1:13" ht="12.75">
      <c r="A22" s="213" t="str">
        <f>'SF&amp;RfD'!A12</f>
        <v>Dibenz(a,h)anthracene</v>
      </c>
      <c r="B22" s="153">
        <f>DFsummers*('GW1&amp;2'!L21*(pb*'Chem&amp;Phy data'!D12*foc+nw+na*'Chem&amp;Phy data'!F12*41))/(pb)</f>
        <v>536.4617397479358</v>
      </c>
      <c r="C22" s="153">
        <f>DFsummers*('GW1&amp;2'!M21*(pb*'Chem&amp;Phy data'!D12*foc+nw+na*'Chem&amp;Phy data'!F12*41))/(pb)</f>
        <v>536.4617397479358</v>
      </c>
      <c r="D22" s="153">
        <f>DFsummers*(+MIN((IF('GW3DW'!G19*'Sd &amp; DAF Summers'!$C$40&lt;'GW1&amp;2'!J21,'GW1&amp;2'!J21,'GW3DW'!G19)),'Chem&amp;Phy data'!L12)*(pb*'Chem&amp;Phy data'!D12*foc+nw+na*'Chem&amp;Phy data'!F12*41))/pb</f>
        <v>536.4617397479358</v>
      </c>
      <c r="E22" s="153">
        <f>DFsummers*(+MIN((IF('GW3NDW'!H19*'Sd &amp; DAF Summers'!$C$40&lt;'GW1&amp;2'!J21,'GW1&amp;2'!J21,'GW3NDW'!H19)),'Chem&amp;Phy data'!L12)*(pb*'Chem&amp;Phy data'!D12*foc+nw+na*'Chem&amp;Phy data'!F12*41))/pb</f>
        <v>536.4617397479358</v>
      </c>
      <c r="F22" s="250" t="s">
        <v>83</v>
      </c>
      <c r="H22" s="9"/>
      <c r="I22" s="9"/>
      <c r="J22" s="7"/>
      <c r="K22" s="7"/>
      <c r="L22" s="7"/>
      <c r="M22" s="7"/>
    </row>
    <row r="23" spans="1:13" ht="12.75">
      <c r="A23" s="213" t="str">
        <f>'SF&amp;RfD'!A13</f>
        <v>Ethyl benzene</v>
      </c>
      <c r="B23" s="153">
        <f>DFsummers*('GW1&amp;2'!L22*(pb*'Chem&amp;Phy data'!D13*foc+nw+na*'Chem&amp;Phy data'!F13*41))/(pb)</f>
        <v>19.24096749768596</v>
      </c>
      <c r="C23" s="153">
        <f>DFsummers*('GW1&amp;2'!M22*(pb*'Chem&amp;Phy data'!D13*foc+nw+na*'Chem&amp;Phy data'!F13*41))/(pb)</f>
        <v>19.24096749768596</v>
      </c>
      <c r="D23" s="153">
        <f>DFsummers*(+MIN((IF('GW3DW'!G20*'Sd &amp; DAF Summers'!$C$40&lt;'GW1&amp;2'!J22,'GW1&amp;2'!J22,'GW3DW'!G20)),'Chem&amp;Phy data'!L13)*(pb*'Chem&amp;Phy data'!D13*foc+nw+na*'Chem&amp;Phy data'!F13*41))/pb</f>
        <v>65.69416045638494</v>
      </c>
      <c r="E23" s="153">
        <f>DFsummers*(+MIN((IF('GW3NDW'!H20*'Sd &amp; DAF Summers'!$C$40&lt;'GW1&amp;2'!J22,'GW1&amp;2'!J22,'GW3NDW'!H20)),'Chem&amp;Phy data'!L13)*(pb*'Chem&amp;Phy data'!D13*foc+nw+na*'Chem&amp;Phy data'!F13*41))/pb</f>
        <v>222.6454810446518</v>
      </c>
      <c r="F23" s="152">
        <f>'Chem&amp;Phy data'!L13*('Chem&amp;Phy data'!D13*foc*pb+nw+'Chem&amp;Phy data'!F13*41*na)/pb</f>
        <v>232.50168360044393</v>
      </c>
      <c r="H23" s="9"/>
      <c r="I23" s="9"/>
      <c r="J23" s="7"/>
      <c r="K23" s="7"/>
      <c r="L23" s="7"/>
      <c r="M23" s="7"/>
    </row>
    <row r="24" spans="1:13" ht="12.75">
      <c r="A24" s="213" t="str">
        <f>'SF&amp;RfD'!A14</f>
        <v>Fluoranthene</v>
      </c>
      <c r="B24" s="153">
        <f>DFsummers*('GW1&amp;2'!L23*(pb*'Chem&amp;Phy data'!D14*foc+nw+na*'Chem&amp;Phy data'!F14*41))/(pb)</f>
        <v>1213.030115829609</v>
      </c>
      <c r="C24" s="153">
        <f>DFsummers*('GW1&amp;2'!M23*(pb*'Chem&amp;Phy data'!D14*foc+nw+na*'Chem&amp;Phy data'!F14*41))/(pb)</f>
        <v>1213.030115829609</v>
      </c>
      <c r="D24" s="153">
        <f>DFsummers*(+MIN((IF('GW3DW'!G21*'Sd &amp; DAF Summers'!$C$40&lt;'GW1&amp;2'!J23,'GW1&amp;2'!J23,'GW3DW'!G21)),'Chem&amp;Phy data'!L14)*(pb*'Chem&amp;Phy data'!D14*foc+nw+na*'Chem&amp;Phy data'!F14*41))/pb</f>
        <v>181.80581969312735</v>
      </c>
      <c r="E24" s="153">
        <f>DFsummers*(+MIN((IF('GW3NDW'!H21*'Sd &amp; DAF Summers'!$C$40&lt;'GW1&amp;2'!J23,'GW1&amp;2'!J23,'GW3NDW'!H21)),'Chem&amp;Phy data'!L14)*(pb*'Chem&amp;Phy data'!D14*foc+nw+na*'Chem&amp;Phy data'!F14*41))/pb</f>
        <v>185.9056701749938</v>
      </c>
      <c r="F24" s="250" t="s">
        <v>83</v>
      </c>
      <c r="H24" s="9"/>
      <c r="I24" s="9"/>
      <c r="J24" s="7"/>
      <c r="K24" s="7"/>
      <c r="L24" s="7"/>
      <c r="M24" s="7"/>
    </row>
    <row r="25" spans="1:13" ht="12.75">
      <c r="A25" s="213" t="str">
        <f>'SF&amp;RfD'!A15</f>
        <v>Fluorene</v>
      </c>
      <c r="B25" s="153">
        <f>DFsummers*('GW1&amp;2'!L24*(pb*'Chem&amp;Phy data'!D15*foc+nw+na*'Chem&amp;Phy data'!F15*41))/(pb)</f>
        <v>225.50542716907967</v>
      </c>
      <c r="C25" s="153">
        <f>DFsummers*('GW1&amp;2'!M24*(pb*'Chem&amp;Phy data'!D15*foc+nw+na*'Chem&amp;Phy data'!F15*41))/(pb)</f>
        <v>225.50542716907967</v>
      </c>
      <c r="D25" s="153">
        <f>DFsummers*(+MIN((IF('GW3DW'!G22*'Sd &amp; DAF Summers'!$C$40&lt;'GW1&amp;2'!J24,'GW1&amp;2'!J24,'GW3DW'!G22)),'Chem&amp;Phy data'!L15)*(pb*'Chem&amp;Phy data'!D15*foc+nw+na*'Chem&amp;Phy data'!F15*41))/pb</f>
        <v>68.12615112407131</v>
      </c>
      <c r="E25" s="153">
        <f>DFsummers*(+MIN((IF('GW3NDW'!H22*'Sd &amp; DAF Summers'!$C$40&lt;'GW1&amp;2'!J24,'GW1&amp;2'!J24,'GW3NDW'!H22)),'Chem&amp;Phy data'!L15)*(pb*'Chem&amp;Phy data'!D15*foc+nw+na*'Chem&amp;Phy data'!F15*41))/pb</f>
        <v>71.90160354026857</v>
      </c>
      <c r="F25" s="250" t="s">
        <v>83</v>
      </c>
      <c r="H25" s="9"/>
      <c r="I25" s="9"/>
      <c r="J25" s="7"/>
      <c r="K25" s="7"/>
      <c r="L25" s="7"/>
      <c r="M25" s="7"/>
    </row>
    <row r="26" spans="1:13" ht="12.75">
      <c r="A26" s="213" t="str">
        <f>'SF&amp;RfD'!A16</f>
        <v>Indeno(1,2,3-cd)pyrene</v>
      </c>
      <c r="B26" s="153">
        <f>DFsummers*('GW1&amp;2'!L25*(pb*'Chem&amp;Phy data'!D16*foc+nw+na*'Chem&amp;Phy data'!F16*41))/(pb)</f>
        <v>9.15156674246162</v>
      </c>
      <c r="C26" s="153">
        <f>DFsummers*('GW1&amp;2'!M25*(pb*'Chem&amp;Phy data'!D16*foc+nw+na*'Chem&amp;Phy data'!F16*41))/(pb)</f>
        <v>9.15156674246162</v>
      </c>
      <c r="D26" s="153">
        <f>DFsummers*(+MIN((IF('GW3DW'!G23*'Sd &amp; DAF Summers'!$C$40&lt;'GW1&amp;2'!J25,'GW1&amp;2'!J25,'GW3DW'!G23)),'Chem&amp;Phy data'!L16)*(pb*'Chem&amp;Phy data'!D16*foc+nw+na*'Chem&amp;Phy data'!F16*41))/pb</f>
        <v>9.15156674246162</v>
      </c>
      <c r="E26" s="153">
        <f>DFsummers*(+MIN((IF('GW3NDW'!H23*'Sd &amp; DAF Summers'!$C$40&lt;'GW1&amp;2'!J25,'GW1&amp;2'!J25,'GW3NDW'!H23)),'Chem&amp;Phy data'!L16)*(pb*'Chem&amp;Phy data'!D16*foc+nw+na*'Chem&amp;Phy data'!F16*41))/pb</f>
        <v>9.15156674246162</v>
      </c>
      <c r="F26" s="250" t="s">
        <v>83</v>
      </c>
      <c r="H26" s="9"/>
      <c r="I26" s="9"/>
      <c r="J26" s="7"/>
      <c r="K26" s="7"/>
      <c r="L26" s="7"/>
      <c r="M26" s="7"/>
    </row>
    <row r="27" spans="1:13" ht="12.75">
      <c r="A27" s="213" t="str">
        <f>'SF&amp;RfD'!A17</f>
        <v>Lead (inorganic)</v>
      </c>
      <c r="B27" s="153" t="s">
        <v>83</v>
      </c>
      <c r="C27" s="153" t="s">
        <v>83</v>
      </c>
      <c r="D27" s="183" t="s">
        <v>83</v>
      </c>
      <c r="E27" s="183" t="s">
        <v>83</v>
      </c>
      <c r="F27" s="250" t="s">
        <v>83</v>
      </c>
      <c r="H27" s="9"/>
      <c r="I27" s="9"/>
      <c r="J27" s="7"/>
      <c r="K27" s="7"/>
      <c r="L27" s="7"/>
      <c r="M27" s="7"/>
    </row>
    <row r="28" spans="1:13" ht="12.75">
      <c r="A28" s="213" t="str">
        <f>'SF&amp;RfD'!A18</f>
        <v>Methyl ethyl ketone</v>
      </c>
      <c r="B28" s="153">
        <f>DFsummers*('GW1&amp;2'!L27*(pb*'Chem&amp;Phy data'!D18*foc+nw+na*'Chem&amp;Phy data'!F18*41))/(pb)</f>
        <v>4.993071059630857</v>
      </c>
      <c r="C28" s="153">
        <f>DFsummers*('GW1&amp;2'!M27*(pb*'Chem&amp;Phy data'!D18*foc+nw+na*'Chem&amp;Phy data'!F18*41))/(pb)</f>
        <v>4.993071059630857</v>
      </c>
      <c r="D28" s="153">
        <f>DFsummers*(+MIN((IF('GW3DW'!G25*'Sd &amp; DAF Summers'!$C$40&lt;'GW1&amp;2'!J27,'GW1&amp;2'!J27,'GW3DW'!G25)),'Chem&amp;Phy data'!L18)*(pb*'Chem&amp;Phy data'!D18*foc+nw+na*'Chem&amp;Phy data'!F18*41))/pb</f>
        <v>52.186541863791334</v>
      </c>
      <c r="E28" s="153">
        <f>DFsummers*(+MIN((IF('GW3NDW'!H25*'Sd &amp; DAF Summers'!$C$40&lt;'GW1&amp;2'!J27,'GW1&amp;2'!J27,'GW3NDW'!H25)),'Chem&amp;Phy data'!L18)*(pb*'Chem&amp;Phy data'!D18*foc+nw+na*'Chem&amp;Phy data'!F18*41))/pb</f>
        <v>1016.6393576795618</v>
      </c>
      <c r="F28" s="152">
        <f>'Chem&amp;Phy data'!L18*('Chem&amp;Phy data'!D18*foc*pb+nw+'Chem&amp;Phy data'!F18*41*na)/pb</f>
        <v>28844.191502774695</v>
      </c>
      <c r="H28" s="9"/>
      <c r="I28" s="9"/>
      <c r="J28" s="7"/>
      <c r="K28" s="7"/>
      <c r="L28" s="7"/>
      <c r="M28" s="7"/>
    </row>
    <row r="29" spans="1:13" ht="12.75">
      <c r="A29" s="213" t="str">
        <f>'SF&amp;RfD'!A19</f>
        <v>Methyl isobutyl ketone</v>
      </c>
      <c r="B29" s="153">
        <f>DFsummers*('GW1&amp;2'!L28*(pb*'Chem&amp;Phy data'!D19*foc+nw+na*'Chem&amp;Phy data'!F19*41))/(pb)</f>
        <v>6.420194669478885</v>
      </c>
      <c r="C29" s="153">
        <f>DFsummers*('GW1&amp;2'!M28*(pb*'Chem&amp;Phy data'!D19*foc+nw+na*'Chem&amp;Phy data'!F19*41))/(pb)</f>
        <v>6.420194669478885</v>
      </c>
      <c r="D29" s="153">
        <f>DFsummers*(+MIN((IF('GW3DW'!G26*'Sd &amp; DAF Summers'!$C$40&lt;'GW1&amp;2'!J28,'GW1&amp;2'!J28,'GW3DW'!G26)),'Chem&amp;Phy data'!L19)*(pb*'Chem&amp;Phy data'!D19*foc+nw+na*'Chem&amp;Phy data'!F19*41))/pb</f>
        <v>8.255326878371465</v>
      </c>
      <c r="E29" s="153">
        <f>DFsummers*(+MIN((IF('GW3NDW'!H26*'Sd &amp; DAF Summers'!$C$40&lt;'GW1&amp;2'!J28,'GW1&amp;2'!J28,'GW3NDW'!H26)),'Chem&amp;Phy data'!L19)*(pb*'Chem&amp;Phy data'!D19*foc+nw+na*'Chem&amp;Phy data'!F19*41))/pb</f>
        <v>97.40572513292292</v>
      </c>
      <c r="F29" s="152">
        <f>'Chem&amp;Phy data'!L19*('Chem&amp;Phy data'!D19*foc*pb+nw+'Chem&amp;Phy data'!F19*41*na)/pb</f>
        <v>3063.384930077691</v>
      </c>
      <c r="H29" s="9"/>
      <c r="I29" s="9"/>
      <c r="J29" s="7"/>
      <c r="K29" s="7"/>
      <c r="L29" s="7"/>
      <c r="M29" s="7"/>
    </row>
    <row r="30" spans="1:13" ht="12.75">
      <c r="A30" s="213" t="str">
        <f>'SF&amp;RfD'!A20</f>
        <v>Methylnaphthalene,2-</v>
      </c>
      <c r="B30" s="153">
        <f>DFsummers*('GW1&amp;2'!L29*(pb*'Chem&amp;Phy data'!D20*foc+nw+na*'Chem&amp;Phy data'!F20*41))/(pb)</f>
        <v>1.6868294717196015</v>
      </c>
      <c r="C30" s="153">
        <f>DFsummers*('GW1&amp;2'!M29*(pb*'Chem&amp;Phy data'!D20*foc+nw+na*'Chem&amp;Phy data'!F20*41))/(pb)</f>
        <v>1.6868294717196015</v>
      </c>
      <c r="D30" s="153">
        <f>DFsummers*(+MIN((IF('GW3DW'!G27*'Sd &amp; DAF Summers'!$C$40&lt;'GW1&amp;2'!J29,'GW1&amp;2'!J29,'GW3DW'!G27)),'Chem&amp;Phy data'!L20)*(pb*'Chem&amp;Phy data'!D20*foc+nw+na*'Chem&amp;Phy data'!F20*41))/pb</f>
        <v>7.0143578130972974</v>
      </c>
      <c r="E30" s="153">
        <f>DFsummers*(+MIN((IF('GW3NDW'!H27*'Sd &amp; DAF Summers'!$C$40&lt;'GW1&amp;2'!J29,'GW1&amp;2'!J29,'GW3NDW'!H27)),'Chem&amp;Phy data'!L20)*(pb*'Chem&amp;Phy data'!D20*foc+nw+na*'Chem&amp;Phy data'!F20*41))/pb</f>
        <v>7.283679850882521</v>
      </c>
      <c r="F30" s="152" t="s">
        <v>83</v>
      </c>
      <c r="H30" s="9"/>
      <c r="I30" s="9"/>
      <c r="J30" s="7"/>
      <c r="K30" s="7"/>
      <c r="L30" s="7"/>
      <c r="M30" s="7"/>
    </row>
    <row r="31" spans="1:13" ht="12.75">
      <c r="A31" s="213" t="str">
        <f>'SF&amp;RfD'!A21</f>
        <v>MTBE (methyl tert-butyl ether)</v>
      </c>
      <c r="B31" s="153">
        <f>DFsummers*('GW1&amp;2'!L30*(pb*'Chem&amp;Phy data'!D21*foc+nw+na*'Chem&amp;Phy data'!F21*41))/(pb)</f>
        <v>0.0770544406530236</v>
      </c>
      <c r="C31" s="153">
        <f>DFsummers*('GW1&amp;2'!M30*(pb*'Chem&amp;Phy data'!D21*foc+nw+na*'Chem&amp;Phy data'!F21*41))/(pb)</f>
        <v>0.0770544406530236</v>
      </c>
      <c r="D31" s="153">
        <f>DFsummers*(+MIN((IF('GW3DW'!G28*'Sd &amp; DAF Summers'!$C$40&lt;'GW1&amp;2'!J30,'GW1&amp;2'!J30,'GW3DW'!G28)),'Chem&amp;Phy data'!L21)*(pb*'Chem&amp;Phy data'!D21*foc+nw+na*'Chem&amp;Phy data'!F21*41))/pb</f>
        <v>0.0770544406530236</v>
      </c>
      <c r="E31" s="153">
        <f>DFsummers*(+MIN((IF('GW3NDW'!H28*'Sd &amp; DAF Summers'!$C$40&lt;'GW1&amp;2'!J30,'GW1&amp;2'!J30,'GW3NDW'!H28)),'Chem&amp;Phy data'!L21)*(pb*'Chem&amp;Phy data'!D21*foc+nw+na*'Chem&amp;Phy data'!F21*41))/pb</f>
        <v>2120.410960905911</v>
      </c>
      <c r="F31" s="152">
        <f>'Chem&amp;Phy data'!L21*('Chem&amp;Phy data'!D21*foc*pb+nw+'Chem&amp;Phy data'!F21*41*na)/pb</f>
        <v>9834.411673584906</v>
      </c>
      <c r="H31" s="9"/>
      <c r="I31" s="9"/>
      <c r="J31" s="7"/>
      <c r="K31" s="7"/>
      <c r="L31" s="7"/>
      <c r="M31" s="7"/>
    </row>
    <row r="32" spans="1:13" ht="12.75">
      <c r="A32" s="213" t="str">
        <f>'SF&amp;RfD'!A22</f>
        <v>Naphthalene</v>
      </c>
      <c r="B32" s="153">
        <f>DFsummers*('GW1&amp;2'!L31*(pb*'Chem&amp;Phy data'!D22*foc+nw+na*'Chem&amp;Phy data'!F22*41))/(pb)</f>
        <v>1.4515786727395368</v>
      </c>
      <c r="C32" s="153">
        <f>DFsummers*('GW1&amp;2'!M31*(pb*'Chem&amp;Phy data'!D22*foc+nw+na*'Chem&amp;Phy data'!F22*41))/(pb)</f>
        <v>0.9035307264979985</v>
      </c>
      <c r="D32" s="153">
        <f>DFsummers*(+MIN((IF('GW3DW'!G29*'Sd &amp; DAF Summers'!$C$40&lt;'GW1&amp;2'!J31,'GW1&amp;2'!J31,'GW3DW'!G29)),'Chem&amp;Phy data'!L22)*(pb*'Chem&amp;Phy data'!D22*foc+nw+na*'Chem&amp;Phy data'!F22*41))/pb</f>
        <v>24.51695188605805</v>
      </c>
      <c r="E32" s="153">
        <f>DFsummers*(+MIN((IF('GW3NDW'!H29*'Sd &amp; DAF Summers'!$C$40&lt;'GW1&amp;2'!J31,'GW1&amp;2'!J31,'GW3NDW'!H29)),'Chem&amp;Phy data'!L22)*(pb*'Chem&amp;Phy data'!D22*foc+nw+na*'Chem&amp;Phy data'!F22*41))/pb</f>
        <v>32.31372462768884</v>
      </c>
      <c r="F32" s="250" t="s">
        <v>83</v>
      </c>
      <c r="H32" s="9"/>
      <c r="I32" s="9"/>
      <c r="J32" s="7"/>
      <c r="K32" s="7"/>
      <c r="L32" s="7"/>
      <c r="M32" s="7"/>
    </row>
    <row r="33" spans="1:13" ht="12.75">
      <c r="A33" s="213" t="str">
        <f>'SF&amp;RfD'!A23</f>
        <v>Phenanthrene</v>
      </c>
      <c r="B33" s="153">
        <f>DFsummers*('GW1&amp;2'!L32*(pb*'Chem&amp;Phy data'!D23*foc+nw+na*'Chem&amp;Phy data'!F23*41))/(pb)</f>
        <v>664.5686476013748</v>
      </c>
      <c r="C33" s="153">
        <f>DFsummers*('GW1&amp;2'!M32*(pb*'Chem&amp;Phy data'!D23*foc+nw+na*'Chem&amp;Phy data'!F23*41))/(pb)</f>
        <v>664.5686476013748</v>
      </c>
      <c r="D33" s="153">
        <f>DFsummers*(+MIN((IF('GW3DW'!G30*'Sd &amp; DAF Summers'!$C$40&lt;'GW1&amp;2'!J32,'GW1&amp;2'!J32,'GW3DW'!G30)),'Chem&amp;Phy data'!L23)*(pb*'Chem&amp;Phy data'!D23*foc+nw+na*'Chem&amp;Phy data'!F23*41))/pb</f>
        <v>116.58870188955248</v>
      </c>
      <c r="E33" s="153">
        <f>DFsummers*(+MIN((IF('GW3NDW'!H30*'Sd &amp; DAF Summers'!$C$40&lt;'GW1&amp;2'!J32,'GW1&amp;2'!J32,'GW3NDW'!H30)),'Chem&amp;Phy data'!L23)*(pb*'Chem&amp;Phy data'!D23*foc+nw+na*'Chem&amp;Phy data'!F23*41))/pb</f>
        <v>118.87276191344444</v>
      </c>
      <c r="F33" s="250" t="s">
        <v>83</v>
      </c>
      <c r="H33" s="9"/>
      <c r="I33" s="9"/>
      <c r="J33" s="7"/>
      <c r="K33" s="7"/>
      <c r="L33" s="7"/>
      <c r="M33" s="7"/>
    </row>
    <row r="34" spans="1:13" ht="12.75">
      <c r="A34" s="213" t="str">
        <f>'SF&amp;RfD'!A24</f>
        <v>Pyrene</v>
      </c>
      <c r="B34" s="153">
        <f>DFsummers*('GW1&amp;2'!L33*(pb*'Chem&amp;Phy data'!D24*foc+nw+na*'Chem&amp;Phy data'!F24*41))/(pb)</f>
        <v>1100.8164546947899</v>
      </c>
      <c r="C34" s="153">
        <f>DFsummers*('GW1&amp;2'!M33*(pb*'Chem&amp;Phy data'!D24*foc+nw+na*'Chem&amp;Phy data'!F24*41))/(pb)</f>
        <v>1100.8164546947899</v>
      </c>
      <c r="D34" s="153">
        <f>DFsummers*(+MIN((IF('GW3DW'!G31*'Sd &amp; DAF Summers'!$C$40&lt;'GW1&amp;2'!J33,'GW1&amp;2'!J33,'GW3DW'!G31)),'Chem&amp;Phy data'!L24)*(pb*'Chem&amp;Phy data'!D24*foc+nw+na*'Chem&amp;Phy data'!F24*41))/pb</f>
        <v>1100.8164546947899</v>
      </c>
      <c r="E34" s="153">
        <f>DFsummers*(+MIN((IF('GW3NDW'!H31*'Sd &amp; DAF Summers'!$C$40&lt;'GW1&amp;2'!J33,'GW1&amp;2'!J33,'GW3NDW'!H31)),'Chem&amp;Phy data'!L24)*(pb*'Chem&amp;Phy data'!D24*foc+nw+na*'Chem&amp;Phy data'!F24*41))/pb</f>
        <v>1100.8164546947899</v>
      </c>
      <c r="F34" s="250" t="s">
        <v>83</v>
      </c>
      <c r="H34" s="9"/>
      <c r="I34" s="9"/>
      <c r="J34" s="7"/>
      <c r="K34" s="7"/>
      <c r="L34" s="7"/>
      <c r="M34" s="7"/>
    </row>
    <row r="35" spans="1:13" ht="12.75">
      <c r="A35" s="213" t="str">
        <f>'SF&amp;RfD'!A25</f>
        <v>Toluene</v>
      </c>
      <c r="B35" s="153">
        <f>DFsummers*('GW1&amp;2'!L34*(pb*'Chem&amp;Phy data'!D25*foc+nw+na*'Chem&amp;Phy data'!F25*41))/(pb)</f>
        <v>19.726157909133704</v>
      </c>
      <c r="C35" s="153">
        <f>DFsummers*('GW1&amp;2'!M34*(pb*'Chem&amp;Phy data'!D25*foc+nw+na*'Chem&amp;Phy data'!F25*41))/(pb)</f>
        <v>19.726157909133704</v>
      </c>
      <c r="D35" s="153">
        <f>DFsummers*(+MIN((IF('GW3DW'!G32*'Sd &amp; DAF Summers'!$C$40&lt;'GW1&amp;2'!J34,'GW1&amp;2'!J34,'GW3DW'!G32)),'Chem&amp;Phy data'!L25)*(pb*'Chem&amp;Phy data'!D25*foc+nw+na*'Chem&amp;Phy data'!F25*41))/pb</f>
        <v>120.32956324571559</v>
      </c>
      <c r="E35" s="153">
        <f>DFsummers*(+MIN((IF('GW3NDW'!H32*'Sd &amp; DAF Summers'!$C$40&lt;'GW1&amp;2'!J34,'GW1&amp;2'!J34,'GW3NDW'!H32)),'Chem&amp;Phy data'!L25)*(pb*'Chem&amp;Phy data'!D25*foc+nw+na*'Chem&amp;Phy data'!F25*41))/pb</f>
        <v>911.3484954019773</v>
      </c>
      <c r="F35" s="152">
        <f>'Chem&amp;Phy data'!L25*('Chem&amp;Phy data'!D25*foc*pb+nw+'Chem&amp;Phy data'!F25*41*na)/pb</f>
        <v>519.3244633607103</v>
      </c>
      <c r="H35" s="9"/>
      <c r="I35" s="9"/>
      <c r="J35" s="7"/>
      <c r="K35" s="7"/>
      <c r="L35" s="7"/>
      <c r="M35" s="7"/>
    </row>
    <row r="36" spans="1:13" ht="12.75">
      <c r="A36" s="213" t="str">
        <f>'SF&amp;RfD'!A26</f>
        <v>Xylene(mixed)</v>
      </c>
      <c r="B36" s="153">
        <f>DFsummers*('GW1&amp;2'!L35*(pb*'Chem&amp;Phy data'!D26*foc+nw+na*'Chem&amp;Phy data'!F26*41))/(pb)</f>
        <v>184.76186329478094</v>
      </c>
      <c r="C36" s="153">
        <f>DFsummers*('GW1&amp;2'!M35*(pb*'Chem&amp;Phy data'!D26*foc+nw+na*'Chem&amp;Phy data'!F26*41))/(pb)</f>
        <v>184.76186329478094</v>
      </c>
      <c r="D36" s="153">
        <f>DFsummers*(+MIN((IF('GW3DW'!G33*'Sd &amp; DAF Summers'!$C$40&lt;'GW1&amp;2'!J35,'GW1&amp;2'!J35,'GW3DW'!G33)),'Chem&amp;Phy data'!L26)*(pb*'Chem&amp;Phy data'!D26*foc+nw+na*'Chem&amp;Phy data'!F26*41))/pb</f>
        <v>184.76186329478094</v>
      </c>
      <c r="E36" s="153">
        <f>DFsummers*(+MIN((IF('GW3NDW'!H33*'Sd &amp; DAF Summers'!$C$40&lt;'GW1&amp;2'!J35,'GW1&amp;2'!J35,'GW3NDW'!H33)),'Chem&amp;Phy data'!L26)*(pb*'Chem&amp;Phy data'!D26*foc+nw+na*'Chem&amp;Phy data'!F26*41))/pb</f>
        <v>184.76186329478094</v>
      </c>
      <c r="F36" s="152">
        <f>'Chem&amp;Phy data'!L26*('Chem&amp;Phy data'!D26*foc*pb+nw+'Chem&amp;Phy data'!F26*41*na)/pb</f>
        <v>147.95949744728082</v>
      </c>
      <c r="H36" s="9"/>
      <c r="I36" s="9"/>
      <c r="J36" s="7"/>
      <c r="K36" s="7"/>
      <c r="L36" s="7"/>
      <c r="M36" s="7"/>
    </row>
    <row r="37" spans="1:13" ht="12.75">
      <c r="A37" s="213" t="str">
        <f>'SF&amp;RfD'!A27</f>
        <v>Aliphatics C6-C8</v>
      </c>
      <c r="B37" s="153">
        <f>DFsummers*('GW1&amp;2'!L36*(pb*'Chem&amp;Phy data'!D27*foc+nw+na*'Chem&amp;Phy data'!F27*41))/(pb)</f>
        <v>18100.327389785496</v>
      </c>
      <c r="C37" s="153">
        <f>DFsummers*('GW1&amp;2'!M36*(pb*'Chem&amp;Phy data'!D27*foc+nw+na*'Chem&amp;Phy data'!F27*41))/(pb)</f>
        <v>18100.327389785496</v>
      </c>
      <c r="D37" s="153">
        <f>DFsummers*(+MIN((IF('GW3DW'!G34*'Sd &amp; DAF Summers'!$C$40&lt;'GW1&amp;2'!J36,'GW1&amp;2'!J36,'GW3DW'!G34)),'Chem&amp;Phy data'!L27)*(pb*'Chem&amp;Phy data'!D27*foc+nw+na*'Chem&amp;Phy data'!F27*41))/pb</f>
        <v>94999.19489597145</v>
      </c>
      <c r="E37" s="153">
        <f>DFsummers*(+MIN((IF('GW3NDW'!H34*'Sd &amp; DAF Summers'!$C$40&lt;'GW1&amp;2'!J36,'GW1&amp;2'!J36,'GW3NDW'!H34)),'Chem&amp;Phy data'!L27)*(pb*'Chem&amp;Phy data'!D27*foc+nw+na*'Chem&amp;Phy data'!F27*41))/pb</f>
        <v>2229812.5633447682</v>
      </c>
      <c r="F37" s="250" t="s">
        <v>83</v>
      </c>
      <c r="H37" s="9"/>
      <c r="I37" s="9"/>
      <c r="J37" s="7"/>
      <c r="K37" s="7"/>
      <c r="L37" s="7"/>
      <c r="M37" s="7"/>
    </row>
    <row r="38" spans="1:13" ht="12.75">
      <c r="A38" s="213" t="str">
        <f>'SF&amp;RfD'!A28</f>
        <v>Aliphatics &gt;C8-C10</v>
      </c>
      <c r="B38" s="153">
        <f>DFsummers*('GW1&amp;2'!L37*(pb*'Chem&amp;Phy data'!D28*foc+nw+na*'Chem&amp;Phy data'!F28*41))/(pb)</f>
        <v>5269.566348920167</v>
      </c>
      <c r="C38" s="153">
        <f>DFsummers*('GW1&amp;2'!M37*(pb*'Chem&amp;Phy data'!D28*foc+nw+na*'Chem&amp;Phy data'!F28*41))/(pb)</f>
        <v>5269.566348920167</v>
      </c>
      <c r="D38" s="153">
        <f>DFsummers*(+MIN((IF('GW3DW'!G35*'Sd &amp; DAF Summers'!$C$40&lt;'GW1&amp;2'!J37,'GW1&amp;2'!J37,'GW3DW'!G35)),'Chem&amp;Phy data'!L28)*(pb*'Chem&amp;Phy data'!D28*foc+nw+na*'Chem&amp;Phy data'!F28*41))/pb</f>
        <v>13178.643382935299</v>
      </c>
      <c r="E38" s="153">
        <f>DFsummers*(+MIN((IF('GW3NDW'!H35*'Sd &amp; DAF Summers'!$C$40&lt;'GW1&amp;2'!J37,'GW1&amp;2'!J37,'GW3NDW'!H35)),'Chem&amp;Phy data'!L28)*(pb*'Chem&amp;Phy data'!D28*foc+nw+na*'Chem&amp;Phy data'!F28*41))/pb</f>
        <v>309327.9328870994</v>
      </c>
      <c r="F38" s="250" t="s">
        <v>83</v>
      </c>
      <c r="H38" s="9"/>
      <c r="I38" s="9"/>
      <c r="J38" s="7"/>
      <c r="K38" s="7"/>
      <c r="L38" s="7"/>
      <c r="M38" s="7"/>
    </row>
    <row r="39" spans="1:13" ht="12.75">
      <c r="A39" s="213" t="str">
        <f>'SF&amp;RfD'!A29</f>
        <v>Aliphatics &gt;C10-C12</v>
      </c>
      <c r="B39" s="153">
        <f>DFsummers*('GW1&amp;2'!L38*(pb*'Chem&amp;Phy data'!D29*foc+nw+na*'Chem&amp;Phy data'!F29*41))/(pb)</f>
        <v>41506.232936832996</v>
      </c>
      <c r="C39" s="153">
        <f>DFsummers*('GW1&amp;2'!M38*(pb*'Chem&amp;Phy data'!D29*foc+nw+na*'Chem&amp;Phy data'!F29*41))/(pb)</f>
        <v>41506.232936832996</v>
      </c>
      <c r="D39" s="153">
        <f>DFsummers*(+MIN((IF('GW3DW'!G36*'Sd &amp; DAF Summers'!$C$40&lt;'GW1&amp;2'!J38,'GW1&amp;2'!J38,'GW3DW'!G36)),'Chem&amp;Phy data'!L29)*(pb*'Chem&amp;Phy data'!D29*foc+nw+na*'Chem&amp;Phy data'!F29*41))/pb</f>
        <v>101612.88613164621</v>
      </c>
      <c r="E39" s="153">
        <f>DFsummers*(+MIN((IF('GW3NDW'!H36*'Sd &amp; DAF Summers'!$C$40&lt;'GW1&amp;2'!J38,'GW1&amp;2'!J38,'GW3NDW'!H36)),'Chem&amp;Phy data'!L29)*(pb*'Chem&amp;Phy data'!D29*foc+nw+na*'Chem&amp;Phy data'!F29*41))/pb</f>
        <v>2385048.5295394263</v>
      </c>
      <c r="F39" s="250" t="s">
        <v>83</v>
      </c>
      <c r="H39" s="9"/>
      <c r="I39" s="9"/>
      <c r="J39" s="7"/>
      <c r="K39" s="7"/>
      <c r="L39" s="7"/>
      <c r="M39" s="7"/>
    </row>
    <row r="40" spans="1:13" ht="12.75">
      <c r="A40" s="213" t="str">
        <f>'SF&amp;RfD'!A30</f>
        <v>Aliphatics &gt;C12-C16</v>
      </c>
      <c r="B40" s="153">
        <f>DFsummers*('GW1&amp;2'!L39*(pb*'Chem&amp;Phy data'!D30*foc+nw+na*'Chem&amp;Phy data'!F30*41))/(pb)</f>
        <v>823612.6144535071</v>
      </c>
      <c r="C40" s="153">
        <f>DFsummers*('GW1&amp;2'!M39*(pb*'Chem&amp;Phy data'!D30*foc+nw+na*'Chem&amp;Phy data'!F30*41))/(pb)</f>
        <v>823612.6144535071</v>
      </c>
      <c r="D40" s="153">
        <f>DFsummers*(+MIN((IF('GW3DW'!G37*'Sd &amp; DAF Summers'!$C$40&lt;'GW1&amp;2'!J39,'GW1&amp;2'!J39,'GW3DW'!G37)),'Chem&amp;Phy data'!L30)*(pb*'Chem&amp;Phy data'!D30*foc+nw+na*'Chem&amp;Phy data'!F30*41))/pb</f>
        <v>2016315.3552483611</v>
      </c>
      <c r="E40" s="153">
        <f>DFsummers*(+MIN((IF('GW3NDW'!H37*'Sd &amp; DAF Summers'!$C$40&lt;'GW1&amp;2'!J39,'GW1&amp;2'!J39,'GW3NDW'!H37)),'Chem&amp;Phy data'!L30)*(pb*'Chem&amp;Phy data'!D30*foc+nw+na*'Chem&amp;Phy data'!F30*41))/pb</f>
        <v>47326772.77655985</v>
      </c>
      <c r="F40" s="250" t="s">
        <v>83</v>
      </c>
      <c r="H40" s="9"/>
      <c r="I40" s="9"/>
      <c r="J40" s="7"/>
      <c r="K40" s="7"/>
      <c r="L40" s="7"/>
      <c r="M40" s="7"/>
    </row>
    <row r="41" spans="1:13" ht="12.75">
      <c r="A41" s="213" t="str">
        <f>'SF&amp;RfD'!A31</f>
        <v>Aliphatics &gt;C16-C35</v>
      </c>
      <c r="B41" s="153">
        <f>DFsummers*('GW1&amp;2'!L40*(pb*'Chem&amp;Phy data'!D31*foc+nw+na*'Chem&amp;Phy data'!F31*41))/(pb)</f>
        <v>5522207033.669686</v>
      </c>
      <c r="C41" s="153">
        <f>DFsummers*('GW1&amp;2'!M40*(pb*'Chem&amp;Phy data'!D31*foc+nw+na*'Chem&amp;Phy data'!F31*41))/(pb)</f>
        <v>5522207033.669686</v>
      </c>
      <c r="D41" s="153">
        <f>DFsummers*(+MIN((IF('GW3DW'!G38*'Sd &amp; DAF Summers'!$C$40&lt;'GW1&amp;2'!J40,'GW1&amp;2'!J40,'GW3DW'!G38)),'Chem&amp;Phy data'!L31)*(pb*'Chem&amp;Phy data'!D31*foc+nw+na*'Chem&amp;Phy data'!F31*41))/pb</f>
        <v>5069666844.028118</v>
      </c>
      <c r="E41" s="153">
        <f>DFsummers*(+MIN((IF('GW3NDW'!H38*'Sd &amp; DAF Summers'!$C$40&lt;'GW1&amp;2'!J40,'GW1&amp;2'!J40,'GW3NDW'!H38)),'Chem&amp;Phy data'!L31)*(pb*'Chem&amp;Phy data'!D31*foc+nw+na*'Chem&amp;Phy data'!F31*41))/pb</f>
        <v>118994764462.63753</v>
      </c>
      <c r="F41" s="250" t="s">
        <v>83</v>
      </c>
      <c r="H41" s="9"/>
      <c r="I41" s="9"/>
      <c r="J41" s="7"/>
      <c r="K41" s="7"/>
      <c r="L41" s="7"/>
      <c r="M41" s="7"/>
    </row>
    <row r="42" spans="1:13" ht="12.75">
      <c r="A42" s="213" t="str">
        <f>'SF&amp;RfD'!A32</f>
        <v>Aromatics &gt;C8-C10</v>
      </c>
      <c r="B42" s="153">
        <f>DFsummers*('GW1&amp;2'!L41*(pb*'Chem&amp;Phy data'!D32*foc+nw+na*'Chem&amp;Phy data'!F32*41))/(pb)</f>
        <v>65.12737399610018</v>
      </c>
      <c r="C42" s="153">
        <f>DFsummers*('GW1&amp;2'!M41*(pb*'Chem&amp;Phy data'!D32*foc+nw+na*'Chem&amp;Phy data'!F32*41))/(pb)</f>
        <v>65.12737399610018</v>
      </c>
      <c r="D42" s="153">
        <f>DFsummers*(+MIN((IF('GW3DW'!G39*'Sd &amp; DAF Summers'!$C$40&lt;'GW1&amp;2'!J41,'GW1&amp;2'!J41,'GW3DW'!G39)),'Chem&amp;Phy data'!L32)*(pb*'Chem&amp;Phy data'!D32*foc+nw+na*'Chem&amp;Phy data'!F32*41))/pb</f>
        <v>259.09104369900683</v>
      </c>
      <c r="E42" s="153">
        <f>DFsummers*(+MIN((IF('GW3NDW'!H39*'Sd &amp; DAF Summers'!$C$40&lt;'GW1&amp;2'!J41,'GW1&amp;2'!J41,'GW3NDW'!H39)),'Chem&amp;Phy data'!L32)*(pb*'Chem&amp;Phy data'!D32*foc+nw+na*'Chem&amp;Phy data'!F32*41))/pb</f>
        <v>6081.361688620509</v>
      </c>
      <c r="F42" s="250" t="s">
        <v>83</v>
      </c>
      <c r="H42" s="9"/>
      <c r="I42" s="9"/>
      <c r="J42" s="7"/>
      <c r="K42" s="7"/>
      <c r="L42" s="7"/>
      <c r="M42" s="7"/>
    </row>
    <row r="43" spans="1:13" ht="12.75">
      <c r="A43" s="213" t="str">
        <f>'SF&amp;RfD'!A33</f>
        <v>Aromatics &gt;C10-C12</v>
      </c>
      <c r="B43" s="153">
        <f>DFsummers*('GW1&amp;2'!L42*(pb*'Chem&amp;Phy data'!D33*foc+nw+na*'Chem&amp;Phy data'!F33*41))/(pb)</f>
        <v>102.36884712291378</v>
      </c>
      <c r="C43" s="153">
        <f>DFsummers*('GW1&amp;2'!M42*(pb*'Chem&amp;Phy data'!D33*foc+nw+na*'Chem&amp;Phy data'!F33*41))/(pb)</f>
        <v>102.36884712291378</v>
      </c>
      <c r="D43" s="153">
        <f>DFsummers*(+MIN((IF('GW3DW'!G40*'Sd &amp; DAF Summers'!$C$40&lt;'GW1&amp;2'!J42,'GW1&amp;2'!J42,'GW3DW'!G40)),'Chem&amp;Phy data'!L33)*(pb*'Chem&amp;Phy data'!D33*foc+nw+na*'Chem&amp;Phy data'!F33*41))/pb</f>
        <v>407.2458294561053</v>
      </c>
      <c r="E43" s="153">
        <f>DFsummers*(+MIN((IF('GW3NDW'!H40*'Sd &amp; DAF Summers'!$C$40&lt;'GW1&amp;2'!J42,'GW1&amp;2'!J42,'GW3NDW'!H40)),'Chem&amp;Phy data'!L33)*(pb*'Chem&amp;Phy data'!D33*foc+nw+na*'Chem&amp;Phy data'!F33*41))/pb</f>
        <v>9558.837502627013</v>
      </c>
      <c r="F43" s="250" t="s">
        <v>83</v>
      </c>
      <c r="H43" s="9"/>
      <c r="I43" s="9"/>
      <c r="J43" s="7"/>
      <c r="K43" s="7"/>
      <c r="L43" s="7"/>
      <c r="M43" s="7"/>
    </row>
    <row r="44" spans="1:13" ht="12.75">
      <c r="A44" s="213" t="str">
        <f>'SF&amp;RfD'!A34</f>
        <v>Aromatics &gt;C12-C16</v>
      </c>
      <c r="B44" s="153">
        <f>DFsummers*('GW1&amp;2'!L43*(pb*'Chem&amp;Phy data'!D34*foc+nw+na*'Chem&amp;Phy data'!F34*41))/(pb)</f>
        <v>203.2921865588046</v>
      </c>
      <c r="C44" s="153">
        <f>DFsummers*('GW1&amp;2'!M43*(pb*'Chem&amp;Phy data'!D34*foc+nw+na*'Chem&amp;Phy data'!F34*41))/(pb)</f>
        <v>203.2921865588046</v>
      </c>
      <c r="D44" s="153">
        <f>DFsummers*(+MIN((IF('GW3DW'!G41*'Sd &amp; DAF Summers'!$C$40&lt;'GW1&amp;2'!J43,'GW1&amp;2'!J43,'GW3DW'!G41)),'Chem&amp;Phy data'!L34)*(pb*'Chem&amp;Phy data'!D34*foc+nw+na*'Chem&amp;Phy data'!F34*41))/pb</f>
        <v>808.7411108350204</v>
      </c>
      <c r="E44" s="153">
        <f>DFsummers*(+MIN((IF('GW3NDW'!H41*'Sd &amp; DAF Summers'!$C$40&lt;'GW1&amp;2'!J43,'GW1&amp;2'!J43,'GW3NDW'!H41)),'Chem&amp;Phy data'!L34)*(pb*'Chem&amp;Phy data'!D34*foc+nw+na*'Chem&amp;Phy data'!F34*41))/pb</f>
        <v>18982.698657689412</v>
      </c>
      <c r="F44" s="250" t="s">
        <v>83</v>
      </c>
      <c r="H44" s="9"/>
      <c r="I44" s="9"/>
      <c r="J44" s="7"/>
      <c r="K44" s="7"/>
      <c r="L44" s="7"/>
      <c r="M44" s="7"/>
    </row>
    <row r="45" spans="1:13" ht="12.75">
      <c r="A45" s="213" t="str">
        <f>'SF&amp;RfD'!A35</f>
        <v>Aromatics &gt;C16-C21</v>
      </c>
      <c r="B45" s="153">
        <f>DFsummers*('GW1&amp;2'!L44*(pb*'Chem&amp;Phy data'!D35*foc+nw+na*'Chem&amp;Phy data'!F35*41))/(pb)</f>
        <v>2083.161486628432</v>
      </c>
      <c r="C45" s="153">
        <f>DFsummers*('GW1&amp;2'!M44*(pb*'Chem&amp;Phy data'!D35*foc+nw+na*'Chem&amp;Phy data'!F35*41))/(pb)</f>
        <v>2083.161486628432</v>
      </c>
      <c r="D45" s="153">
        <f>DFsummers*(+MIN((IF('GW3DW'!G42*'Sd &amp; DAF Summers'!$C$40&lt;'GW1&amp;2'!J44,'GW1&amp;2'!J44,'GW3DW'!G42)),'Chem&amp;Phy data'!L35)*(pb*'Chem&amp;Phy data'!D35*foc+nw+na*'Chem&amp;Phy data'!F35*41))/pb</f>
        <v>1912.4481670326663</v>
      </c>
      <c r="E45" s="153">
        <f>DFsummers*(+MIN((IF('GW3NDW'!H42*'Sd &amp; DAF Summers'!$C$40&lt;'GW1&amp;2'!J44,'GW1&amp;2'!J44,'GW3NDW'!H42)),'Chem&amp;Phy data'!L35)*(pb*'Chem&amp;Phy data'!D35*foc+nw+na*'Chem&amp;Phy data'!F35*41))/pb</f>
        <v>44888.81147113753</v>
      </c>
      <c r="F45" s="250" t="s">
        <v>83</v>
      </c>
      <c r="H45" s="9"/>
      <c r="I45" s="9"/>
      <c r="J45" s="7"/>
      <c r="K45" s="7"/>
      <c r="L45" s="7"/>
      <c r="M45" s="7"/>
    </row>
    <row r="46" spans="1:13" ht="12.75">
      <c r="A46" s="213" t="str">
        <f>'SF&amp;RfD'!A36</f>
        <v>Aromatics &gt;C21-C35</v>
      </c>
      <c r="B46" s="153">
        <f>DFsummers*('GW1&amp;2'!L45*(pb*'Chem&amp;Phy data'!D36*foc+nw+na*'Chem&amp;Phy data'!F36*41))/(pb)</f>
        <v>16528.20715871252</v>
      </c>
      <c r="C46" s="153">
        <f>DFsummers*('GW1&amp;2'!M45*(pb*'Chem&amp;Phy data'!D36*foc+nw+na*'Chem&amp;Phy data'!F36*41))/(pb)</f>
        <v>16528.20715871252</v>
      </c>
      <c r="D46" s="153">
        <f>DFsummers*(+MIN((IF('GW3DW'!G43*'Sd &amp; DAF Summers'!$C$40&lt;'GW1&amp;2'!J45,'GW1&amp;2'!J45,'GW3DW'!G43)),'Chem&amp;Phy data'!L36)*(pb*'Chem&amp;Phy data'!D36*foc+nw+na*'Chem&amp;Phy data'!F36*41))/pb</f>
        <v>15173.734579826181</v>
      </c>
      <c r="E46" s="153">
        <f>DFsummers*(+MIN((IF('GW3NDW'!H43*'Sd &amp; DAF Summers'!$C$40&lt;'GW1&amp;2'!J45,'GW1&amp;2'!J45,'GW3NDW'!H43)),'Chem&amp;Phy data'!L36)*(pb*'Chem&amp;Phy data'!D36*foc+nw+na*'Chem&amp;Phy data'!F36*41))/pb</f>
        <v>356156.5341264819</v>
      </c>
      <c r="F46" s="250" t="s">
        <v>83</v>
      </c>
      <c r="H46" s="9"/>
      <c r="I46" s="9"/>
      <c r="J46" s="7"/>
      <c r="K46" s="7"/>
      <c r="L46" s="7"/>
      <c r="M46" s="7"/>
    </row>
    <row r="47" spans="1:13" ht="12.75">
      <c r="A47" s="213" t="s">
        <v>501</v>
      </c>
      <c r="B47" s="183">
        <f>+MIN(B37:B38,B42)</f>
        <v>65.12737399610018</v>
      </c>
      <c r="C47" s="183">
        <f>+MIN(C37:C38,C42)</f>
        <v>65.12737399610018</v>
      </c>
      <c r="D47" s="183">
        <f>+MIN(D37:D38,D42)</f>
        <v>259.09104369900683</v>
      </c>
      <c r="E47" s="183">
        <f>+MIN(E37:E38,E42)</f>
        <v>6081.361688620509</v>
      </c>
      <c r="F47" s="251"/>
      <c r="H47" s="9"/>
      <c r="I47" s="9"/>
      <c r="J47" s="7"/>
      <c r="K47" s="7"/>
      <c r="L47" s="7"/>
      <c r="M47" s="7"/>
    </row>
    <row r="48" spans="1:13" ht="12.75">
      <c r="A48" s="213" t="s">
        <v>502</v>
      </c>
      <c r="B48" s="183">
        <f>+MIN(B38:B41,B42:B46)</f>
        <v>65.12737399610018</v>
      </c>
      <c r="C48" s="183">
        <f>+MIN(C38:C41,C42:C46)</f>
        <v>65.12737399610018</v>
      </c>
      <c r="D48" s="183">
        <f>+MIN(D38:D41,D42:D46)</f>
        <v>259.09104369900683</v>
      </c>
      <c r="E48" s="183">
        <f>+MIN(E38:E41,E42:E46)</f>
        <v>6081.361688620509</v>
      </c>
      <c r="F48" s="251"/>
      <c r="H48" s="9"/>
      <c r="I48" s="9"/>
      <c r="J48" s="7"/>
      <c r="K48" s="7"/>
      <c r="L48" s="7"/>
      <c r="M48" s="7"/>
    </row>
    <row r="49" spans="1:13" ht="12.75">
      <c r="A49" s="215" t="s">
        <v>503</v>
      </c>
      <c r="B49" s="184">
        <f>+MIN(B41,B46)</f>
        <v>16528.20715871252</v>
      </c>
      <c r="C49" s="184">
        <f>+MIN(C41,C46)</f>
        <v>16528.20715871252</v>
      </c>
      <c r="D49" s="184">
        <f>+MIN(D41,D46)</f>
        <v>15173.734579826181</v>
      </c>
      <c r="E49" s="184">
        <f>+MIN(E41,E46)</f>
        <v>356156.5341264819</v>
      </c>
      <c r="F49" s="252"/>
      <c r="H49" s="9"/>
      <c r="I49" s="9"/>
      <c r="J49" s="7"/>
      <c r="K49" s="7"/>
      <c r="L49" s="7"/>
      <c r="M49" s="7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7"/>
      <c r="K50" s="7"/>
      <c r="L50" s="7"/>
      <c r="M50" s="7"/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7"/>
      <c r="K51" s="7"/>
      <c r="L51" s="7"/>
      <c r="M51" s="7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7"/>
      <c r="K52" s="7"/>
      <c r="L52" s="7"/>
      <c r="M52" s="7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7"/>
      <c r="K53" s="7"/>
      <c r="L53" s="7"/>
      <c r="M53" s="7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7"/>
      <c r="K54" s="7"/>
      <c r="L54" s="7"/>
      <c r="M54" s="7"/>
    </row>
    <row r="55" spans="1:13" ht="12.75">
      <c r="A55" s="120" t="str">
        <f>'SF&amp;RfD'!A55</f>
        <v>ADDITIONAL COMPOUNDS</v>
      </c>
      <c r="B55" s="9"/>
      <c r="C55" s="9"/>
      <c r="D55" s="9"/>
      <c r="E55" s="9"/>
      <c r="F55" s="9"/>
      <c r="G55" s="9"/>
      <c r="H55" s="9"/>
      <c r="I55" s="9"/>
      <c r="J55" s="7"/>
      <c r="K55" s="7"/>
      <c r="L55" s="7"/>
      <c r="M55" s="7"/>
    </row>
    <row r="56" spans="1:13" ht="12.75">
      <c r="A56" s="19" t="str">
        <f>'SF&amp;RfD'!A56</f>
        <v>ORGANIC COUMPOUNDS</v>
      </c>
      <c r="B56" s="13"/>
      <c r="C56" s="13"/>
      <c r="D56" s="13"/>
      <c r="E56" s="13"/>
      <c r="F56" s="13"/>
      <c r="H56" s="9"/>
      <c r="I56" s="9"/>
      <c r="J56" s="7"/>
      <c r="K56" s="7"/>
      <c r="L56" s="7"/>
      <c r="M56" s="7"/>
    </row>
    <row r="57" spans="1:13" ht="12.75">
      <c r="A57" s="19" t="str">
        <f>'SF&amp;RfD'!A57</f>
        <v>Benzene</v>
      </c>
      <c r="B57" s="21">
        <f>DFsummers*('GW1&amp;2'!L57*(pb*'Chem&amp;Phy data'!D57*foc+nw+na*'Chem&amp;Phy data'!F57*41))/(pb)</f>
        <v>0.051308459870377104</v>
      </c>
      <c r="C57" s="21">
        <f>DFsummers*('GW1&amp;2'!M57*(pb*'Chem&amp;Phy data'!D57*foc+nw+na*'Chem&amp;Phy data'!F57*41))/(pb)</f>
        <v>0.051308459870377104</v>
      </c>
      <c r="D57" s="103">
        <f>DFsummers*(+MIN((IF('GW3DW'!G67*'Sd &amp; DAF Summers'!$C$40&lt;'GW1&amp;2'!M57,'GW1&amp;2'!mJ160,'GW3DW'!G67)),'Chem&amp;Phy data'!L46)*(pb*'Chem&amp;Phy data'!D57*foc+nw+na*'Chem&amp;Phy data'!F57*41))/pb</f>
        <v>0.011287861171482965</v>
      </c>
      <c r="E57" s="103">
        <f>DFsummers*(+MIN((IF('GW3NDW'!H148*'Sd &amp; DAF Summers'!$C$40&lt;'GW1&amp;2'!J57,'GW1&amp;2'!J57,'GW3NDW'!H148)),'Chem&amp;Phy data'!L57)*(pb*'Chem&amp;Phy data'!D57*foc+nw+na*'Chem&amp;Phy data'!F57*41))/pb</f>
        <v>0.12827114967594277</v>
      </c>
      <c r="F57" s="18">
        <f>'Chem&amp;Phy data'!L57*('Chem&amp;Phy data'!D57*foc*pb+nw+'Chem&amp;Phy data'!F57*41*na)/pb</f>
        <v>898.8092938401776</v>
      </c>
      <c r="H57" s="9"/>
      <c r="I57" s="9"/>
      <c r="J57" s="7"/>
      <c r="K57" s="7"/>
      <c r="L57" s="7"/>
      <c r="M57" s="7"/>
    </row>
    <row r="58" spans="1:13" ht="12.75">
      <c r="A58" s="19" t="str">
        <f>'SF&amp;RfD'!A58</f>
        <v>Benzene</v>
      </c>
      <c r="B58" s="21">
        <f>DFsummers*('GW1&amp;2'!L58*(pb*'Chem&amp;Phy data'!D58*foc+nw+na*'Chem&amp;Phy data'!F58*41))/(pb)</f>
        <v>0.051308459870377104</v>
      </c>
      <c r="C58" s="21">
        <f>DFsummers*('GW1&amp;2'!M58*(pb*'Chem&amp;Phy data'!D58*foc+nw+na*'Chem&amp;Phy data'!F58*41))/(pb)</f>
        <v>0.051308459870377104</v>
      </c>
      <c r="D58" s="103">
        <f>DFsummers*(+MIN((IF('GW3DW'!G68*'Sd &amp; DAF Summers'!$C$40&lt;'GW1&amp;2'!M58,'GW1&amp;2'!mJ160,'GW3DW'!G68)),'Chem&amp;Phy data'!L47)*(pb*'Chem&amp;Phy data'!D58*foc+nw+na*'Chem&amp;Phy data'!F58*41))/pb</f>
        <v>0.011287861171482965</v>
      </c>
      <c r="E58" s="103">
        <f>DFsummers*(+MIN((IF('GW3NDW'!H149*'Sd &amp; DAF Summers'!$C$40&lt;'GW1&amp;2'!J58,'GW1&amp;2'!J58,'GW3NDW'!H149)),'Chem&amp;Phy data'!L58)*(pb*'Chem&amp;Phy data'!D58*foc+nw+na*'Chem&amp;Phy data'!F58*41))/pb</f>
        <v>0.12827114967594277</v>
      </c>
      <c r="F58" s="18">
        <f>'Chem&amp;Phy data'!L58*('Chem&amp;Phy data'!D58*foc*pb+nw+'Chem&amp;Phy data'!F58*41*na)/pb</f>
        <v>898.8092938401776</v>
      </c>
      <c r="H58" s="9"/>
      <c r="I58" s="9"/>
      <c r="J58" s="7"/>
      <c r="K58" s="7"/>
      <c r="L58" s="7"/>
      <c r="M58" s="7"/>
    </row>
    <row r="59" spans="1:13" ht="12.75">
      <c r="A59" s="19" t="str">
        <f>'SF&amp;RfD'!A59</f>
        <v>Benzene</v>
      </c>
      <c r="B59" s="21">
        <f>DFsummers*('GW1&amp;2'!L59*(pb*'Chem&amp;Phy data'!D59*foc+nw+na*'Chem&amp;Phy data'!F59*41))/(pb)</f>
        <v>0.003913811463466591</v>
      </c>
      <c r="C59" s="21">
        <f>DFsummers*('GW1&amp;2'!M59*(pb*'Chem&amp;Phy data'!D59*foc+nw+na*'Chem&amp;Phy data'!F59*41))/(pb)</f>
        <v>0.003913811463466591</v>
      </c>
      <c r="D59" s="103">
        <f>DFsummers*(+MIN((IF('GW3DW'!G69*'Sd &amp; DAF Summers'!$C$40&lt;'GW1&amp;2'!M59,'GW1&amp;2'!mJ160,'GW3DW'!G69)),'Chem&amp;Phy data'!L48)*(pb*'Chem&amp;Phy data'!D59*foc+nw+na*'Chem&amp;Phy data'!F59*41))/pb</f>
        <v>0.01185715716454465</v>
      </c>
      <c r="E59" s="103">
        <f>DFsummers*(+MIN((IF('GW3NDW'!H150*'Sd &amp; DAF Summers'!$C$40&lt;'GW1&amp;2'!J59,'GW1&amp;2'!J59,'GW3NDW'!H150)),'Chem&amp;Phy data'!L59)*(pb*'Chem&amp;Phy data'!D59*foc+nw+na*'Chem&amp;Phy data'!F59*41))/pb</f>
        <v>0.2783101271543121</v>
      </c>
      <c r="F59" s="18">
        <f>'Chem&amp;Phy data'!L59*('Chem&amp;Phy data'!D59*foc*pb+nw+'Chem&amp;Phy data'!F59*41*na)/pb</f>
        <v>898.8092938401776</v>
      </c>
      <c r="H59" s="9"/>
      <c r="I59" s="9"/>
      <c r="J59" s="7"/>
      <c r="K59" s="7"/>
      <c r="L59" s="7"/>
      <c r="M59" s="7"/>
    </row>
    <row r="60" spans="1:13" ht="12.75">
      <c r="A60" s="19" t="str">
        <f>'SF&amp;RfD'!A60</f>
        <v>Benzene</v>
      </c>
      <c r="B60" s="21">
        <f>DFsummers*('GW1&amp;2'!L60*(pb*'Chem&amp;Phy data'!D60*foc+nw+na*'Chem&amp;Phy data'!F60*41))/(pb)</f>
        <v>0.003913811463466591</v>
      </c>
      <c r="C60" s="21">
        <f>DFsummers*('GW1&amp;2'!M60*(pb*'Chem&amp;Phy data'!D60*foc+nw+na*'Chem&amp;Phy data'!F60*41))/(pb)</f>
        <v>0.003913811463466591</v>
      </c>
      <c r="D60" s="103">
        <f>DFsummers*(+MIN((IF('GW3DW'!G70*'Sd &amp; DAF Summers'!$C$40&lt;'GW1&amp;2'!M60,'GW1&amp;2'!mJ160,'GW3DW'!G70)),'Chem&amp;Phy data'!L49)*(pb*'Chem&amp;Phy data'!D60*foc+nw+na*'Chem&amp;Phy data'!F60*41))/pb</f>
        <v>0.01185715716454465</v>
      </c>
      <c r="E60" s="103">
        <f>DFsummers*(+MIN((IF('GW3NDW'!H151*'Sd &amp; DAF Summers'!$C$40&lt;'GW1&amp;2'!J60,'GW1&amp;2'!J60,'GW3NDW'!H151)),'Chem&amp;Phy data'!L60)*(pb*'Chem&amp;Phy data'!D60*foc+nw+na*'Chem&amp;Phy data'!F60*41))/pb</f>
        <v>0.2783101271543121</v>
      </c>
      <c r="F60" s="18">
        <f>'Chem&amp;Phy data'!L60*('Chem&amp;Phy data'!D60*foc*pb+nw+'Chem&amp;Phy data'!F60*41*na)/pb</f>
        <v>898.8092938401776</v>
      </c>
      <c r="H60" s="9"/>
      <c r="I60" s="9"/>
      <c r="J60" s="7"/>
      <c r="K60" s="7"/>
      <c r="L60" s="7"/>
      <c r="M60" s="7"/>
    </row>
    <row r="61" spans="1:13" ht="12.75">
      <c r="A61" s="19" t="str">
        <f>'SF&amp;RfD'!A61</f>
        <v>Benzene</v>
      </c>
      <c r="B61" s="21">
        <f>DFsummers*('GW1&amp;2'!L61*(pb*'Chem&amp;Phy data'!D61*foc+nw+na*'Chem&amp;Phy data'!F61*41))/(pb)</f>
        <v>0.003913811463466591</v>
      </c>
      <c r="C61" s="21">
        <f>DFsummers*('GW1&amp;2'!M61*(pb*'Chem&amp;Phy data'!D61*foc+nw+na*'Chem&amp;Phy data'!F61*41))/(pb)</f>
        <v>0.003913811463466591</v>
      </c>
      <c r="D61" s="103">
        <f>DFsummers*(+MIN((IF('GW3DW'!G71*'Sd &amp; DAF Summers'!$C$40&lt;'GW1&amp;2'!M61,'GW1&amp;2'!mJ160,'GW3DW'!G71)),'Chem&amp;Phy data'!L50)*(pb*'Chem&amp;Phy data'!D61*foc+nw+na*'Chem&amp;Phy data'!F61*41))/pb</f>
        <v>0.01185715716454465</v>
      </c>
      <c r="E61" s="103">
        <f>DFsummers*(+MIN((IF('GW3NDW'!H152*'Sd &amp; DAF Summers'!$C$40&lt;'GW1&amp;2'!J61,'GW1&amp;2'!J61,'GW3NDW'!H152)),'Chem&amp;Phy data'!L61)*(pb*'Chem&amp;Phy data'!D61*foc+nw+na*'Chem&amp;Phy data'!F61*41))/pb</f>
        <v>0.2783101271543121</v>
      </c>
      <c r="F61" s="18">
        <f>'Chem&amp;Phy data'!L61*('Chem&amp;Phy data'!D61*foc*pb+nw+'Chem&amp;Phy data'!F61*41*na)/pb</f>
        <v>898.8092938401776</v>
      </c>
      <c r="H61" s="7"/>
      <c r="I61" s="7"/>
      <c r="J61" s="7"/>
      <c r="K61" s="7"/>
      <c r="L61" s="7"/>
      <c r="M61" s="7"/>
    </row>
    <row r="62" spans="1:13" ht="12.75">
      <c r="A62" s="19" t="str">
        <f>'SF&amp;RfD'!A62</f>
        <v>Benzene</v>
      </c>
      <c r="B62" s="21">
        <f>DFsummers*('GW1&amp;2'!L62*(pb*'Chem&amp;Phy data'!D62*foc+nw+na*'Chem&amp;Phy data'!F62*41))/(pb)</f>
        <v>0.003913811463466591</v>
      </c>
      <c r="C62" s="21">
        <f>DFsummers*('GW1&amp;2'!M62*(pb*'Chem&amp;Phy data'!D62*foc+nw+na*'Chem&amp;Phy data'!F62*41))/(pb)</f>
        <v>0.003913811463466591</v>
      </c>
      <c r="D62" s="103">
        <f>DFsummers*(+MIN((IF('GW3DW'!G72*'Sd &amp; DAF Summers'!$C$40&lt;'GW1&amp;2'!M62,'GW1&amp;2'!mJ160,'GW3DW'!G72)),'Chem&amp;Phy data'!L51)*(pb*'Chem&amp;Phy data'!D62*foc+nw+na*'Chem&amp;Phy data'!F62*41))/pb</f>
        <v>0.01185715716454465</v>
      </c>
      <c r="E62" s="103">
        <f>DFsummers*(+MIN((IF('GW3NDW'!H153*'Sd &amp; DAF Summers'!$C$40&lt;'GW1&amp;2'!J62,'GW1&amp;2'!J62,'GW3NDW'!H153)),'Chem&amp;Phy data'!L62)*(pb*'Chem&amp;Phy data'!D62*foc+nw+na*'Chem&amp;Phy data'!F62*41))/pb</f>
        <v>0.2783101271543121</v>
      </c>
      <c r="F62" s="18">
        <f>'Chem&amp;Phy data'!L62*('Chem&amp;Phy data'!D62*foc*pb+nw+'Chem&amp;Phy data'!F62*41*na)/pb</f>
        <v>898.8092938401776</v>
      </c>
      <c r="H62" s="7"/>
      <c r="I62" s="7"/>
      <c r="J62" s="7"/>
      <c r="K62" s="7"/>
      <c r="L62" s="7"/>
      <c r="M62" s="7"/>
    </row>
    <row r="63" spans="1:13" ht="12.75">
      <c r="A63" s="19" t="str">
        <f>'SF&amp;RfD'!A63</f>
        <v>Formaldehyde</v>
      </c>
      <c r="B63" s="21">
        <f>DFsummers*('GW1&amp;2'!L63*(pb*'Chem&amp;Phy data'!D63*foc+nw+na*'Chem&amp;Phy data'!F63*41))/(pb)</f>
        <v>0.004188506518193946</v>
      </c>
      <c r="C63" s="21">
        <f>DFsummers*('GW1&amp;2'!M63*(pb*'Chem&amp;Phy data'!D63*foc+nw+na*'Chem&amp;Phy data'!F63*41))/(pb)</f>
        <v>0.004188506518193946</v>
      </c>
      <c r="D63" s="103">
        <f>DFsummers*(+MIN((IF('GW3DW'!G73*'Sd &amp; DAF Summers'!$C$40&lt;'GW1&amp;2'!M63,'GW1&amp;2'!mJ160,'GW3DW'!G73)),'Chem&amp;Phy data'!L52)*(pb*'Chem&amp;Phy data'!D63*foc+nw+na*'Chem&amp;Phy data'!F63*41))/pb</f>
        <v>0.0021040264620130235</v>
      </c>
      <c r="E63" s="103">
        <f>DFsummers*(+MIN((IF('GW3NDW'!H154*'Sd &amp; DAF Summers'!$C$40&lt;'GW1&amp;2'!J63,'GW1&amp;2'!J63,'GW3NDW'!H154)),'Chem&amp;Phy data'!L63)*(pb*'Chem&amp;Phy data'!D63*foc+nw+na*'Chem&amp;Phy data'!F63*41))/pb</f>
        <v>0.044273110779339896</v>
      </c>
      <c r="F63" s="18">
        <f>'Chem&amp;Phy data'!L63*('Chem&amp;Phy data'!D63*foc*pb+nw+'Chem&amp;Phy data'!F63*41*na)/pb</f>
        <v>79920.84616304106</v>
      </c>
      <c r="G63" s="7"/>
      <c r="H63" s="7"/>
      <c r="I63" s="7"/>
      <c r="J63" s="7"/>
      <c r="K63" s="7"/>
      <c r="L63" s="7"/>
      <c r="M63" s="7"/>
    </row>
    <row r="64" spans="1:13" ht="12.75">
      <c r="A64" s="13"/>
      <c r="B64" s="13"/>
      <c r="C64" s="13"/>
      <c r="D64" s="13"/>
      <c r="E64" s="13"/>
      <c r="F64" s="13"/>
      <c r="G64" s="7"/>
      <c r="H64" s="7"/>
      <c r="I64" s="7"/>
      <c r="J64" s="7"/>
      <c r="K64" s="7"/>
      <c r="L64" s="7"/>
      <c r="M64" s="7"/>
    </row>
    <row r="65" spans="1:13" ht="12.75">
      <c r="A65" s="13"/>
      <c r="B65" s="13"/>
      <c r="C65" s="13"/>
      <c r="D65" s="13"/>
      <c r="E65" s="13"/>
      <c r="F65" s="13"/>
      <c r="G65" s="7"/>
      <c r="H65" s="7"/>
      <c r="I65" s="7"/>
      <c r="J65" s="7"/>
      <c r="K65" s="7"/>
      <c r="L65" s="7"/>
      <c r="M65" s="7"/>
    </row>
    <row r="66" spans="1:13" ht="12.75">
      <c r="A66" s="19" t="str">
        <f>'SF&amp;RfD'!A66</f>
        <v>INORGANIC COMPOUNDS</v>
      </c>
      <c r="B66" s="13"/>
      <c r="C66" s="13"/>
      <c r="D66" s="13"/>
      <c r="E66" s="13"/>
      <c r="F66" s="13"/>
      <c r="G66" s="7"/>
      <c r="H66" s="7"/>
      <c r="I66" s="7"/>
      <c r="J66" s="7"/>
      <c r="K66" s="7"/>
      <c r="L66" s="7"/>
      <c r="M66" s="7"/>
    </row>
    <row r="67" spans="1:13" ht="12.75">
      <c r="A67" s="19" t="str">
        <f>'SF&amp;RfD'!A67</f>
        <v>Antimony</v>
      </c>
      <c r="B67" s="16"/>
      <c r="C67" s="16"/>
      <c r="D67" s="16"/>
      <c r="E67" s="16"/>
      <c r="F67" s="16"/>
      <c r="G67" s="7"/>
      <c r="H67" s="7"/>
      <c r="I67" s="7"/>
      <c r="J67" s="7"/>
      <c r="K67" s="7"/>
      <c r="L67" s="7"/>
      <c r="M67" s="7"/>
    </row>
    <row r="68" spans="1:13" ht="12.75">
      <c r="A68" s="19" t="str">
        <f>'SF&amp;RfD'!A68</f>
        <v>Antimony</v>
      </c>
      <c r="B68" s="16"/>
      <c r="C68" s="16"/>
      <c r="D68" s="16"/>
      <c r="E68" s="16"/>
      <c r="F68" s="16"/>
      <c r="G68" s="7"/>
      <c r="H68" s="7"/>
      <c r="I68" s="7"/>
      <c r="J68" s="7"/>
      <c r="K68" s="7"/>
      <c r="L68" s="7"/>
      <c r="M68" s="7"/>
    </row>
    <row r="69" spans="1:13" ht="12.75">
      <c r="A69" s="19" t="str">
        <f>'SF&amp;RfD'!A69</f>
        <v>Antimony</v>
      </c>
      <c r="B69" s="16"/>
      <c r="C69" s="16"/>
      <c r="D69" s="16"/>
      <c r="E69" s="16"/>
      <c r="F69" s="16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</sheetData>
  <sheetProtection password="C256" sheet="1" objects="1" scenarios="1"/>
  <printOptions horizontalCentered="1"/>
  <pageMargins left="0.75" right="0.75" top="1.5" bottom="0.75" header="0.5" footer="0.5"/>
  <pageSetup horizontalDpi="300" verticalDpi="300" orientation="landscape" r:id="rId3"/>
  <headerFooter alignWithMargins="0">
    <oddHeader>&amp;CLDEQ RECAP
WORKSHEET I6
SOILGW and SOILsat
(mg/kg)</oddHeader>
    <oddFooter>&amp;CWI6 -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7.421875" style="55" customWidth="1"/>
    <col min="2" max="2" width="9.57421875" style="55" bestFit="1" customWidth="1"/>
    <col min="3" max="3" width="9.140625" style="55" bestFit="1" customWidth="1"/>
    <col min="4" max="4" width="10.140625" style="55" bestFit="1" customWidth="1"/>
    <col min="5" max="5" width="5.8515625" style="55" bestFit="1" customWidth="1"/>
    <col min="6" max="6" width="10.00390625" style="55" bestFit="1" customWidth="1"/>
    <col min="7" max="7" width="5.8515625" style="55" bestFit="1" customWidth="1"/>
    <col min="8" max="8" width="9.8515625" style="55" bestFit="1" customWidth="1"/>
    <col min="9" max="9" width="5.8515625" style="55" bestFit="1" customWidth="1"/>
    <col min="10" max="10" width="9.7109375" style="55" bestFit="1" customWidth="1"/>
    <col min="11" max="11" width="5.8515625" style="55" bestFit="1" customWidth="1"/>
    <col min="12" max="12" width="9.00390625" style="55" customWidth="1"/>
    <col min="13" max="13" width="5.8515625" style="55" bestFit="1" customWidth="1"/>
    <col min="14" max="14" width="7.8515625" style="55" customWidth="1"/>
    <col min="15" max="15" width="8.421875" style="55" customWidth="1"/>
    <col min="16" max="16" width="7.8515625" style="55" customWidth="1"/>
    <col min="17" max="17" width="8.57421875" style="55" customWidth="1"/>
    <col min="18" max="16384" width="7.8515625" style="55" customWidth="1"/>
  </cols>
  <sheetData>
    <row r="1" spans="1:21" ht="12.75">
      <c r="A1" s="125" t="s">
        <v>349</v>
      </c>
      <c r="B1" s="50" t="s">
        <v>1</v>
      </c>
      <c r="C1" s="50" t="s">
        <v>92</v>
      </c>
      <c r="D1" s="50" t="s">
        <v>354</v>
      </c>
      <c r="E1" s="50" t="s">
        <v>2</v>
      </c>
      <c r="F1" s="50" t="s">
        <v>30</v>
      </c>
      <c r="G1" s="50" t="s">
        <v>2</v>
      </c>
      <c r="H1" s="50" t="s">
        <v>355</v>
      </c>
      <c r="I1" s="50" t="s">
        <v>2</v>
      </c>
      <c r="J1" s="50" t="s">
        <v>356</v>
      </c>
      <c r="K1" s="50" t="s">
        <v>2</v>
      </c>
      <c r="L1" s="50" t="s">
        <v>350</v>
      </c>
      <c r="M1" s="51" t="s">
        <v>2</v>
      </c>
      <c r="N1" s="52"/>
      <c r="O1" s="53"/>
      <c r="P1" s="52"/>
      <c r="Q1" s="52"/>
      <c r="R1" s="52"/>
      <c r="S1" s="54"/>
      <c r="T1" s="52"/>
      <c r="U1" s="52"/>
    </row>
    <row r="2" spans="1:21" ht="12.75">
      <c r="A2" s="56"/>
      <c r="B2" s="57"/>
      <c r="C2" s="57" t="s">
        <v>93</v>
      </c>
      <c r="D2" s="57" t="s">
        <v>494</v>
      </c>
      <c r="E2" s="57"/>
      <c r="F2" s="57" t="s">
        <v>495</v>
      </c>
      <c r="G2" s="57"/>
      <c r="H2" s="57" t="s">
        <v>496</v>
      </c>
      <c r="I2" s="57"/>
      <c r="J2" s="57" t="s">
        <v>496</v>
      </c>
      <c r="K2" s="57"/>
      <c r="L2" s="57" t="s">
        <v>94</v>
      </c>
      <c r="M2" s="58"/>
      <c r="N2" s="52"/>
      <c r="O2" s="53"/>
      <c r="P2" s="52"/>
      <c r="Q2" s="52"/>
      <c r="R2" s="52"/>
      <c r="S2" s="54"/>
      <c r="T2" s="52"/>
      <c r="U2" s="52"/>
    </row>
    <row r="3" spans="1:21" ht="12.75">
      <c r="A3" s="41" t="str">
        <f>'SF&amp;RfD'!A3</f>
        <v>Acenaphthene</v>
      </c>
      <c r="B3" s="42" t="str">
        <f>'SF&amp;RfD'!B3</f>
        <v>83-32-9</v>
      </c>
      <c r="C3" s="59">
        <v>154.2</v>
      </c>
      <c r="D3" s="60">
        <v>4900</v>
      </c>
      <c r="E3" s="59">
        <v>1</v>
      </c>
      <c r="F3" s="60">
        <v>0.000155</v>
      </c>
      <c r="G3" s="59">
        <v>1</v>
      </c>
      <c r="H3" s="60">
        <v>0.0421</v>
      </c>
      <c r="I3" s="59">
        <v>1</v>
      </c>
      <c r="J3" s="60">
        <v>7.69E-06</v>
      </c>
      <c r="K3" s="59">
        <v>1</v>
      </c>
      <c r="L3" s="60">
        <v>4.24</v>
      </c>
      <c r="M3" s="43">
        <v>1</v>
      </c>
      <c r="N3" s="52"/>
      <c r="O3" s="61"/>
      <c r="P3" s="64"/>
      <c r="Q3" s="52"/>
      <c r="R3" s="34"/>
      <c r="S3" s="52"/>
      <c r="T3" s="52"/>
      <c r="U3" s="52"/>
    </row>
    <row r="4" spans="1:21" ht="12.75">
      <c r="A4" s="45" t="str">
        <f>'SF&amp;RfD'!A4</f>
        <v>Acenaphthylene</v>
      </c>
      <c r="B4" s="26" t="str">
        <f>'SF&amp;RfD'!B4</f>
        <v>208-96-8</v>
      </c>
      <c r="C4" s="59">
        <v>152.2</v>
      </c>
      <c r="D4" s="60">
        <v>2000</v>
      </c>
      <c r="E4" s="59">
        <v>2</v>
      </c>
      <c r="F4" s="60">
        <v>0.000114</v>
      </c>
      <c r="G4" s="59">
        <v>2</v>
      </c>
      <c r="H4" s="60">
        <v>0.0439</v>
      </c>
      <c r="I4" s="59">
        <v>3</v>
      </c>
      <c r="J4" s="60">
        <v>7.53E-06</v>
      </c>
      <c r="K4" s="59">
        <v>3</v>
      </c>
      <c r="L4" s="60">
        <v>16</v>
      </c>
      <c r="M4" s="43">
        <v>2</v>
      </c>
      <c r="N4" s="52"/>
      <c r="O4" s="61"/>
      <c r="P4" s="64"/>
      <c r="Q4" s="52"/>
      <c r="R4" s="34"/>
      <c r="S4" s="52"/>
      <c r="T4" s="52"/>
      <c r="U4" s="52"/>
    </row>
    <row r="5" spans="1:21" ht="12.75">
      <c r="A5" s="45" t="str">
        <f>'SF&amp;RfD'!A5</f>
        <v>Anthracene</v>
      </c>
      <c r="B5" s="26" t="str">
        <f>'SF&amp;RfD'!B5</f>
        <v>120-12-7</v>
      </c>
      <c r="C5" s="62">
        <v>178.23</v>
      </c>
      <c r="D5" s="63">
        <v>23500</v>
      </c>
      <c r="E5" s="62">
        <v>1</v>
      </c>
      <c r="F5" s="63">
        <v>6.5E-05</v>
      </c>
      <c r="G5" s="62">
        <v>1</v>
      </c>
      <c r="H5" s="63">
        <v>0.0324</v>
      </c>
      <c r="I5" s="62">
        <v>1</v>
      </c>
      <c r="J5" s="63">
        <v>7.74E-06</v>
      </c>
      <c r="K5" s="62">
        <v>1</v>
      </c>
      <c r="L5" s="63">
        <v>0.043</v>
      </c>
      <c r="M5" s="47">
        <v>1</v>
      </c>
      <c r="N5" s="52"/>
      <c r="O5" s="61"/>
      <c r="P5" s="64"/>
      <c r="Q5" s="52"/>
      <c r="R5" s="34"/>
      <c r="S5" s="52"/>
      <c r="T5" s="52"/>
      <c r="U5" s="52"/>
    </row>
    <row r="6" spans="1:21" ht="12.75">
      <c r="A6" s="45" t="str">
        <f>'SF&amp;RfD'!A6</f>
        <v>Benzene</v>
      </c>
      <c r="B6" s="26" t="str">
        <f>'SF&amp;RfD'!B6</f>
        <v>71-43-2</v>
      </c>
      <c r="C6" s="62">
        <v>78.11</v>
      </c>
      <c r="D6" s="63">
        <v>61.7</v>
      </c>
      <c r="E6" s="62">
        <v>1</v>
      </c>
      <c r="F6" s="63">
        <v>0.00555</v>
      </c>
      <c r="G6" s="62">
        <v>1</v>
      </c>
      <c r="H6" s="63">
        <v>0.088</v>
      </c>
      <c r="I6" s="62">
        <v>1</v>
      </c>
      <c r="J6" s="63">
        <v>9.8E-06</v>
      </c>
      <c r="K6" s="62">
        <v>1</v>
      </c>
      <c r="L6" s="63">
        <v>1750</v>
      </c>
      <c r="M6" s="47">
        <v>1</v>
      </c>
      <c r="N6" s="52"/>
      <c r="O6" s="61"/>
      <c r="P6" s="64"/>
      <c r="Q6" s="52"/>
      <c r="R6" s="34"/>
      <c r="S6" s="52"/>
      <c r="T6" s="52"/>
      <c r="U6" s="52"/>
    </row>
    <row r="7" spans="1:21" ht="12.75">
      <c r="A7" s="45" t="str">
        <f>'SF&amp;RfD'!A7</f>
        <v>Benz(a)anthracene</v>
      </c>
      <c r="B7" s="26" t="str">
        <f>'SF&amp;RfD'!B7</f>
        <v>56-55-3</v>
      </c>
      <c r="C7" s="62">
        <v>228.29</v>
      </c>
      <c r="D7" s="63">
        <v>358000</v>
      </c>
      <c r="E7" s="62">
        <v>1</v>
      </c>
      <c r="F7" s="63">
        <v>3.35E-06</v>
      </c>
      <c r="G7" s="62">
        <v>1</v>
      </c>
      <c r="H7" s="63">
        <v>0.051</v>
      </c>
      <c r="I7" s="62">
        <v>1</v>
      </c>
      <c r="J7" s="63">
        <v>9E-06</v>
      </c>
      <c r="K7" s="62">
        <v>1</v>
      </c>
      <c r="L7" s="63">
        <v>0.0094</v>
      </c>
      <c r="M7" s="47">
        <v>1</v>
      </c>
      <c r="N7" s="52"/>
      <c r="O7" s="61"/>
      <c r="P7" s="64"/>
      <c r="Q7" s="52"/>
      <c r="R7" s="34"/>
      <c r="S7" s="52"/>
      <c r="T7" s="52"/>
      <c r="U7" s="52"/>
    </row>
    <row r="8" spans="1:21" ht="12.75">
      <c r="A8" s="45" t="str">
        <f>'SF&amp;RfD'!A8</f>
        <v>Benzo(a)pyrene</v>
      </c>
      <c r="B8" s="26" t="str">
        <f>'SF&amp;RfD'!B8</f>
        <v>50-32-8</v>
      </c>
      <c r="C8" s="62">
        <v>252.32</v>
      </c>
      <c r="D8" s="63">
        <v>969000</v>
      </c>
      <c r="E8" s="62">
        <v>1</v>
      </c>
      <c r="F8" s="63">
        <v>1.13E-06</v>
      </c>
      <c r="G8" s="62">
        <v>1</v>
      </c>
      <c r="H8" s="63">
        <v>0.043</v>
      </c>
      <c r="I8" s="62">
        <v>1</v>
      </c>
      <c r="J8" s="63">
        <v>9E-06</v>
      </c>
      <c r="K8" s="62">
        <v>1</v>
      </c>
      <c r="L8" s="63">
        <v>0.0016</v>
      </c>
      <c r="M8" s="47">
        <v>1</v>
      </c>
      <c r="N8" s="52"/>
      <c r="O8" s="61"/>
      <c r="P8" s="64"/>
      <c r="Q8" s="52"/>
      <c r="R8" s="34"/>
      <c r="S8" s="52"/>
      <c r="T8" s="52"/>
      <c r="U8" s="52"/>
    </row>
    <row r="9" spans="1:21" ht="12.75">
      <c r="A9" s="45" t="str">
        <f>'SF&amp;RfD'!A9</f>
        <v>Benzo(b)fluoranthene</v>
      </c>
      <c r="B9" s="26" t="str">
        <f>'SF&amp;RfD'!B9</f>
        <v>205-99-2</v>
      </c>
      <c r="C9" s="62">
        <v>252.32</v>
      </c>
      <c r="D9" s="63">
        <v>1230000</v>
      </c>
      <c r="E9" s="62">
        <v>1</v>
      </c>
      <c r="F9" s="63">
        <v>0.000111</v>
      </c>
      <c r="G9" s="62">
        <v>1</v>
      </c>
      <c r="H9" s="63">
        <v>0.0226</v>
      </c>
      <c r="I9" s="62">
        <v>1</v>
      </c>
      <c r="J9" s="63">
        <v>5.56E-06</v>
      </c>
      <c r="K9" s="62">
        <v>1</v>
      </c>
      <c r="L9" s="63">
        <v>0.0015</v>
      </c>
      <c r="M9" s="47">
        <v>1</v>
      </c>
      <c r="N9" s="52"/>
      <c r="O9" s="61"/>
      <c r="P9" s="64"/>
      <c r="Q9" s="52"/>
      <c r="R9" s="34"/>
      <c r="S9" s="52"/>
      <c r="T9" s="52"/>
      <c r="U9" s="52"/>
    </row>
    <row r="10" spans="1:21" ht="12.75">
      <c r="A10" s="45" t="str">
        <f>'SF&amp;RfD'!A10</f>
        <v>Benzo(k)fluoranthene</v>
      </c>
      <c r="B10" s="26" t="str">
        <f>'SF&amp;RfD'!B10</f>
        <v>207-08-9</v>
      </c>
      <c r="C10" s="62">
        <v>252.32</v>
      </c>
      <c r="D10" s="63">
        <v>1230000</v>
      </c>
      <c r="E10" s="62">
        <v>1</v>
      </c>
      <c r="F10" s="63">
        <v>8.29E-07</v>
      </c>
      <c r="G10" s="62">
        <v>1</v>
      </c>
      <c r="H10" s="63">
        <v>0.0226</v>
      </c>
      <c r="I10" s="62">
        <v>1</v>
      </c>
      <c r="J10" s="63">
        <v>5.56E-06</v>
      </c>
      <c r="K10" s="62">
        <v>1</v>
      </c>
      <c r="L10" s="63">
        <v>0.0008</v>
      </c>
      <c r="M10" s="47">
        <v>1</v>
      </c>
      <c r="N10" s="52"/>
      <c r="O10" s="61"/>
      <c r="P10" s="64"/>
      <c r="Q10" s="52"/>
      <c r="R10" s="34"/>
      <c r="S10" s="52"/>
      <c r="T10" s="52"/>
      <c r="U10" s="52"/>
    </row>
    <row r="11" spans="1:21" ht="12.75">
      <c r="A11" s="45" t="str">
        <f>'SF&amp;RfD'!A11</f>
        <v>Chrysene</v>
      </c>
      <c r="B11" s="26" t="str">
        <f>'SF&amp;RfD'!B11</f>
        <v>218-01-9</v>
      </c>
      <c r="C11" s="62">
        <v>228.29</v>
      </c>
      <c r="D11" s="63">
        <v>398000</v>
      </c>
      <c r="E11" s="62">
        <v>1</v>
      </c>
      <c r="F11" s="63">
        <v>9.46E-05</v>
      </c>
      <c r="G11" s="62">
        <v>1</v>
      </c>
      <c r="H11" s="63">
        <v>0.0248</v>
      </c>
      <c r="I11" s="62">
        <v>1</v>
      </c>
      <c r="J11" s="63">
        <v>6.21E-06</v>
      </c>
      <c r="K11" s="62">
        <v>1</v>
      </c>
      <c r="L11" s="63">
        <v>0.0016</v>
      </c>
      <c r="M11" s="47">
        <v>1</v>
      </c>
      <c r="N11" s="52"/>
      <c r="O11" s="61"/>
      <c r="P11" s="64"/>
      <c r="Q11" s="52"/>
      <c r="R11" s="34"/>
      <c r="S11" s="52"/>
      <c r="T11" s="52"/>
      <c r="U11" s="52"/>
    </row>
    <row r="12" spans="1:21" ht="12.75">
      <c r="A12" s="45" t="str">
        <f>'SF&amp;RfD'!A12</f>
        <v>Dibenz(a,h)anthracene</v>
      </c>
      <c r="B12" s="26" t="str">
        <f>'SF&amp;RfD'!B12</f>
        <v>53-70-3</v>
      </c>
      <c r="C12" s="62">
        <v>278.35</v>
      </c>
      <c r="D12" s="63">
        <v>1790000</v>
      </c>
      <c r="E12" s="62">
        <v>1</v>
      </c>
      <c r="F12" s="63">
        <v>1.47E-08</v>
      </c>
      <c r="G12" s="62">
        <v>1</v>
      </c>
      <c r="H12" s="63">
        <v>0.0202</v>
      </c>
      <c r="I12" s="62">
        <v>1</v>
      </c>
      <c r="J12" s="63">
        <v>5.18E-06</v>
      </c>
      <c r="K12" s="62">
        <v>1</v>
      </c>
      <c r="L12" s="63">
        <v>0.0025</v>
      </c>
      <c r="M12" s="47">
        <v>1</v>
      </c>
      <c r="N12" s="52"/>
      <c r="O12" s="61"/>
      <c r="P12" s="64"/>
      <c r="Q12" s="52"/>
      <c r="R12" s="34"/>
      <c r="S12" s="52"/>
      <c r="T12" s="52"/>
      <c r="U12" s="52"/>
    </row>
    <row r="13" spans="1:21" ht="12.75">
      <c r="A13" s="45" t="str">
        <f>'SF&amp;RfD'!A13</f>
        <v>Ethyl benzene</v>
      </c>
      <c r="B13" s="26" t="str">
        <f>'SF&amp;RfD'!B13</f>
        <v>100-41-4</v>
      </c>
      <c r="C13" s="62">
        <v>106.17</v>
      </c>
      <c r="D13" s="63">
        <v>204</v>
      </c>
      <c r="E13" s="62">
        <v>1</v>
      </c>
      <c r="F13" s="63">
        <v>0.00788</v>
      </c>
      <c r="G13" s="62">
        <v>1</v>
      </c>
      <c r="H13" s="63">
        <v>0.075</v>
      </c>
      <c r="I13" s="62">
        <v>1</v>
      </c>
      <c r="J13" s="63">
        <v>7.8E-06</v>
      </c>
      <c r="K13" s="62">
        <v>1</v>
      </c>
      <c r="L13" s="63">
        <v>169</v>
      </c>
      <c r="M13" s="47">
        <v>1</v>
      </c>
      <c r="N13" s="52"/>
      <c r="O13" s="61"/>
      <c r="P13" s="64"/>
      <c r="Q13" s="52"/>
      <c r="R13" s="34"/>
      <c r="S13" s="52"/>
      <c r="T13" s="52"/>
      <c r="U13" s="52"/>
    </row>
    <row r="14" spans="1:21" ht="12.75">
      <c r="A14" s="45" t="str">
        <f>'SF&amp;RfD'!A14</f>
        <v>Fluoranthene</v>
      </c>
      <c r="B14" s="26" t="str">
        <f>'SF&amp;RfD'!B14</f>
        <v>206-44-0</v>
      </c>
      <c r="C14" s="62">
        <v>202.26</v>
      </c>
      <c r="D14" s="63">
        <v>49100</v>
      </c>
      <c r="E14" s="62">
        <v>1</v>
      </c>
      <c r="F14" s="63">
        <v>1.61E-05</v>
      </c>
      <c r="G14" s="62">
        <v>1</v>
      </c>
      <c r="H14" s="63">
        <v>0.0302</v>
      </c>
      <c r="I14" s="62">
        <v>1</v>
      </c>
      <c r="J14" s="63">
        <v>6.35E-06</v>
      </c>
      <c r="K14" s="62">
        <v>1</v>
      </c>
      <c r="L14" s="63">
        <v>0.206</v>
      </c>
      <c r="M14" s="47">
        <v>1</v>
      </c>
      <c r="N14" s="52"/>
      <c r="O14" s="61"/>
      <c r="P14" s="64"/>
      <c r="Q14" s="52"/>
      <c r="R14" s="34"/>
      <c r="S14" s="52"/>
      <c r="T14" s="52"/>
      <c r="U14" s="52"/>
    </row>
    <row r="15" spans="1:21" ht="12.75">
      <c r="A15" s="45" t="str">
        <f>'SF&amp;RfD'!A15</f>
        <v>Fluorene</v>
      </c>
      <c r="B15" s="26" t="str">
        <f>'SF&amp;RfD'!B15</f>
        <v>86-73-7</v>
      </c>
      <c r="C15" s="62">
        <v>166.22</v>
      </c>
      <c r="D15" s="63">
        <v>7710</v>
      </c>
      <c r="E15" s="62">
        <v>1</v>
      </c>
      <c r="F15" s="63">
        <v>6.36E-05</v>
      </c>
      <c r="G15" s="62">
        <v>1</v>
      </c>
      <c r="H15" s="63">
        <v>0.0363</v>
      </c>
      <c r="I15" s="62">
        <v>1</v>
      </c>
      <c r="J15" s="63">
        <v>7.88E-06</v>
      </c>
      <c r="K15" s="62">
        <v>1</v>
      </c>
      <c r="L15" s="63">
        <v>1.98</v>
      </c>
      <c r="M15" s="47">
        <v>1</v>
      </c>
      <c r="N15" s="52"/>
      <c r="O15" s="61"/>
      <c r="P15" s="64"/>
      <c r="Q15" s="52"/>
      <c r="R15" s="34"/>
      <c r="S15" s="52"/>
      <c r="T15" s="52"/>
      <c r="U15" s="52"/>
    </row>
    <row r="16" spans="1:21" ht="12.75">
      <c r="A16" s="45" t="str">
        <f>'SF&amp;RfD'!A16</f>
        <v>Indeno(1,2,3-cd)pyrene</v>
      </c>
      <c r="B16" s="26" t="str">
        <f>'SF&amp;RfD'!B16</f>
        <v>193-39-5</v>
      </c>
      <c r="C16" s="62">
        <v>276.34</v>
      </c>
      <c r="D16" s="63">
        <v>3470000</v>
      </c>
      <c r="E16" s="62">
        <v>1</v>
      </c>
      <c r="F16" s="63">
        <v>1.6E-06</v>
      </c>
      <c r="G16" s="62">
        <v>1</v>
      </c>
      <c r="H16" s="63">
        <v>0.019</v>
      </c>
      <c r="I16" s="62">
        <v>1</v>
      </c>
      <c r="J16" s="63">
        <v>5.66E-06</v>
      </c>
      <c r="K16" s="62">
        <v>1</v>
      </c>
      <c r="L16" s="63">
        <v>2.2E-05</v>
      </c>
      <c r="M16" s="47">
        <v>1</v>
      </c>
      <c r="N16" s="52"/>
      <c r="O16" s="61"/>
      <c r="P16" s="64"/>
      <c r="Q16" s="52"/>
      <c r="R16" s="34"/>
      <c r="S16" s="52"/>
      <c r="T16" s="52"/>
      <c r="U16" s="52"/>
    </row>
    <row r="17" spans="1:21" ht="12.75">
      <c r="A17" s="45" t="str">
        <f>'SF&amp;RfD'!A17</f>
        <v>Lead (inorganic)</v>
      </c>
      <c r="B17" s="26" t="str">
        <f>'SF&amp;RfD'!B17</f>
        <v>7439-92-1</v>
      </c>
      <c r="C17" s="62">
        <v>207.2</v>
      </c>
      <c r="D17" s="63" t="s">
        <v>95</v>
      </c>
      <c r="E17" s="62" t="s">
        <v>95</v>
      </c>
      <c r="F17" s="63" t="s">
        <v>95</v>
      </c>
      <c r="G17" s="62" t="s">
        <v>95</v>
      </c>
      <c r="H17" s="63" t="s">
        <v>95</v>
      </c>
      <c r="I17" s="62" t="s">
        <v>95</v>
      </c>
      <c r="J17" s="63" t="s">
        <v>95</v>
      </c>
      <c r="K17" s="62" t="s">
        <v>95</v>
      </c>
      <c r="L17" s="63" t="s">
        <v>95</v>
      </c>
      <c r="M17" s="47" t="s">
        <v>95</v>
      </c>
      <c r="N17" s="52"/>
      <c r="O17" s="61"/>
      <c r="P17" s="64"/>
      <c r="Q17" s="52"/>
      <c r="R17" s="34"/>
      <c r="S17" s="52"/>
      <c r="T17" s="52"/>
      <c r="U17" s="52"/>
    </row>
    <row r="18" spans="1:21" ht="12.75">
      <c r="A18" s="45" t="str">
        <f>'SF&amp;RfD'!A18</f>
        <v>Methyl ethyl ketone</v>
      </c>
      <c r="B18" s="26" t="str">
        <f>'SF&amp;RfD'!B18</f>
        <v>78-93-3</v>
      </c>
      <c r="C18" s="62">
        <v>72.11</v>
      </c>
      <c r="D18" s="63">
        <v>1.23</v>
      </c>
      <c r="E18" s="62">
        <v>4</v>
      </c>
      <c r="F18" s="63">
        <v>5.6E-05</v>
      </c>
      <c r="G18" s="62">
        <v>2</v>
      </c>
      <c r="H18" s="63">
        <v>0.0808</v>
      </c>
      <c r="I18" s="62" t="s">
        <v>13</v>
      </c>
      <c r="J18" s="63">
        <v>9.8E-06</v>
      </c>
      <c r="K18" s="62" t="s">
        <v>13</v>
      </c>
      <c r="L18" s="63">
        <v>220000</v>
      </c>
      <c r="M18" s="47">
        <v>2</v>
      </c>
      <c r="N18" s="52"/>
      <c r="O18" s="61"/>
      <c r="P18" s="64"/>
      <c r="Q18" s="52"/>
      <c r="R18" s="34"/>
      <c r="S18" s="52"/>
      <c r="T18" s="52"/>
      <c r="U18" s="52"/>
    </row>
    <row r="19" spans="1:21" ht="12.75">
      <c r="A19" s="45" t="str">
        <f>'SF&amp;RfD'!A19</f>
        <v>Methyl isobutyl ketone</v>
      </c>
      <c r="B19" s="26" t="str">
        <f>'SF&amp;RfD'!B19</f>
        <v>108-10-1</v>
      </c>
      <c r="C19" s="62">
        <v>100.16</v>
      </c>
      <c r="D19" s="63">
        <v>6.2</v>
      </c>
      <c r="E19" s="62">
        <v>4</v>
      </c>
      <c r="F19" s="63">
        <v>0.00014</v>
      </c>
      <c r="G19" s="62">
        <v>2</v>
      </c>
      <c r="H19" s="63">
        <v>0.075</v>
      </c>
      <c r="I19" s="62">
        <v>3</v>
      </c>
      <c r="J19" s="63">
        <v>7.8E-06</v>
      </c>
      <c r="K19" s="62">
        <v>3</v>
      </c>
      <c r="L19" s="63">
        <v>19000</v>
      </c>
      <c r="M19" s="47">
        <v>2</v>
      </c>
      <c r="N19" s="52"/>
      <c r="O19" s="61"/>
      <c r="P19" s="64"/>
      <c r="Q19" s="52"/>
      <c r="R19" s="34"/>
      <c r="S19" s="52"/>
      <c r="T19" s="52"/>
      <c r="U19" s="52"/>
    </row>
    <row r="20" spans="1:21" ht="12.75">
      <c r="A20" s="45" t="str">
        <f>'SF&amp;RfD'!A20</f>
        <v>Methylnaphthalene,2-</v>
      </c>
      <c r="B20" s="26" t="str">
        <f>'SF&amp;RfD'!B20</f>
        <v>91-57-6</v>
      </c>
      <c r="C20" s="62">
        <v>142.2</v>
      </c>
      <c r="D20" s="63">
        <v>2240</v>
      </c>
      <c r="E20" s="62">
        <v>3</v>
      </c>
      <c r="F20" s="63">
        <v>5.8E-05</v>
      </c>
      <c r="G20" s="62">
        <v>3</v>
      </c>
      <c r="H20" s="63">
        <v>0.048</v>
      </c>
      <c r="I20" s="62">
        <v>3</v>
      </c>
      <c r="J20" s="63">
        <v>7.84E-06</v>
      </c>
      <c r="K20" s="62">
        <v>3</v>
      </c>
      <c r="L20" s="63">
        <v>24.6</v>
      </c>
      <c r="M20" s="47">
        <v>2</v>
      </c>
      <c r="N20" s="52"/>
      <c r="O20" s="61"/>
      <c r="P20" s="64"/>
      <c r="Q20" s="52"/>
      <c r="R20" s="34"/>
      <c r="S20" s="52"/>
      <c r="T20" s="52"/>
      <c r="U20" s="52"/>
    </row>
    <row r="21" spans="1:21" ht="12.75">
      <c r="A21" s="45" t="str">
        <f>'SF&amp;RfD'!A21</f>
        <v>MTBE (methyl tert-butyl ether)</v>
      </c>
      <c r="B21" s="26" t="str">
        <f>'SF&amp;RfD'!B21</f>
        <v>1634-04-4</v>
      </c>
      <c r="C21" s="62">
        <v>83.1</v>
      </c>
      <c r="D21" s="63">
        <v>11.2</v>
      </c>
      <c r="E21" s="62">
        <v>6</v>
      </c>
      <c r="F21" s="63">
        <v>0.000587</v>
      </c>
      <c r="G21" s="62">
        <v>6</v>
      </c>
      <c r="H21" s="63">
        <v>0.102</v>
      </c>
      <c r="I21" s="62">
        <v>3</v>
      </c>
      <c r="J21" s="63">
        <v>1.05E-05</v>
      </c>
      <c r="K21" s="62">
        <v>3</v>
      </c>
      <c r="L21" s="63">
        <v>51000</v>
      </c>
      <c r="M21" s="47">
        <v>6</v>
      </c>
      <c r="N21" s="52"/>
      <c r="O21" s="61"/>
      <c r="P21" s="64"/>
      <c r="Q21" s="52"/>
      <c r="R21" s="34"/>
      <c r="S21" s="52"/>
      <c r="T21" s="52"/>
      <c r="U21" s="52"/>
    </row>
    <row r="22" spans="1:21" ht="12.75">
      <c r="A22" s="45" t="str">
        <f>'SF&amp;RfD'!A22</f>
        <v>Naphthalene</v>
      </c>
      <c r="B22" s="26" t="str">
        <f>'SF&amp;RfD'!B22</f>
        <v>91-20-3</v>
      </c>
      <c r="C22" s="62">
        <v>128.17</v>
      </c>
      <c r="D22" s="63">
        <v>1190</v>
      </c>
      <c r="E22" s="62">
        <v>1</v>
      </c>
      <c r="F22" s="63">
        <v>0.000483</v>
      </c>
      <c r="G22" s="62">
        <v>1</v>
      </c>
      <c r="H22" s="63">
        <v>0.059</v>
      </c>
      <c r="I22" s="62">
        <v>1</v>
      </c>
      <c r="J22" s="63">
        <v>7.5E-06</v>
      </c>
      <c r="K22" s="62">
        <v>1</v>
      </c>
      <c r="L22" s="63">
        <v>31</v>
      </c>
      <c r="M22" s="47">
        <v>1</v>
      </c>
      <c r="N22" s="52"/>
      <c r="O22" s="61"/>
      <c r="P22" s="64"/>
      <c r="Q22" s="52"/>
      <c r="R22" s="34"/>
      <c r="S22" s="52"/>
      <c r="T22" s="52"/>
      <c r="U22" s="52"/>
    </row>
    <row r="23" spans="1:21" ht="12.75">
      <c r="A23" s="45" t="str">
        <f>'SF&amp;RfD'!A23</f>
        <v>Phenanthrene</v>
      </c>
      <c r="B23" s="26" t="str">
        <f>'SF&amp;RfD'!B23</f>
        <v>85-01-8</v>
      </c>
      <c r="C23" s="62">
        <v>178.24</v>
      </c>
      <c r="D23" s="63">
        <v>4800</v>
      </c>
      <c r="E23" s="62">
        <v>2</v>
      </c>
      <c r="F23" s="63">
        <v>2.33E-05</v>
      </c>
      <c r="G23" s="62">
        <v>2</v>
      </c>
      <c r="H23" s="63">
        <v>0.0324</v>
      </c>
      <c r="I23" s="62" t="s">
        <v>13</v>
      </c>
      <c r="J23" s="63">
        <v>7.74E-06</v>
      </c>
      <c r="K23" s="62" t="s">
        <v>13</v>
      </c>
      <c r="L23" s="63">
        <v>1.15</v>
      </c>
      <c r="M23" s="47">
        <v>2</v>
      </c>
      <c r="N23" s="52"/>
      <c r="O23" s="61"/>
      <c r="P23" s="64"/>
      <c r="Q23" s="52"/>
      <c r="R23" s="34"/>
      <c r="S23" s="52"/>
      <c r="T23" s="52"/>
      <c r="U23" s="52"/>
    </row>
    <row r="24" spans="1:21" ht="12.75">
      <c r="A24" s="45" t="str">
        <f>'SF&amp;RfD'!A24</f>
        <v>Pyrene</v>
      </c>
      <c r="B24" s="26" t="str">
        <f>'SF&amp;RfD'!B24</f>
        <v>129-00-0</v>
      </c>
      <c r="C24" s="62">
        <v>202.26</v>
      </c>
      <c r="D24" s="63">
        <v>68000</v>
      </c>
      <c r="E24" s="62">
        <v>1</v>
      </c>
      <c r="F24" s="63">
        <v>1.1E-05</v>
      </c>
      <c r="G24" s="62">
        <v>1</v>
      </c>
      <c r="H24" s="63">
        <v>0.0272</v>
      </c>
      <c r="I24" s="62">
        <v>1</v>
      </c>
      <c r="J24" s="63">
        <v>7.24E-06</v>
      </c>
      <c r="K24" s="62">
        <v>1</v>
      </c>
      <c r="L24" s="63">
        <v>0.135</v>
      </c>
      <c r="M24" s="47">
        <v>1</v>
      </c>
      <c r="N24" s="52"/>
      <c r="O24" s="61"/>
      <c r="P24" s="64"/>
      <c r="Q24" s="52"/>
      <c r="R24" s="34"/>
      <c r="S24" s="52"/>
      <c r="T24" s="52"/>
      <c r="U24" s="52"/>
    </row>
    <row r="25" spans="1:21" ht="12.75">
      <c r="A25" s="45" t="str">
        <f>'SF&amp;RfD'!A25</f>
        <v>Toluene</v>
      </c>
      <c r="B25" s="26" t="str">
        <f>'SF&amp;RfD'!B25</f>
        <v>108-88-3</v>
      </c>
      <c r="C25" s="62">
        <v>92.14</v>
      </c>
      <c r="D25" s="63">
        <v>140</v>
      </c>
      <c r="E25" s="62">
        <v>1</v>
      </c>
      <c r="F25" s="63">
        <v>0.00664</v>
      </c>
      <c r="G25" s="62">
        <v>1</v>
      </c>
      <c r="H25" s="63">
        <v>0.087</v>
      </c>
      <c r="I25" s="62">
        <v>1</v>
      </c>
      <c r="J25" s="63">
        <v>8.6E-06</v>
      </c>
      <c r="K25" s="62">
        <v>1</v>
      </c>
      <c r="L25" s="63">
        <v>526</v>
      </c>
      <c r="M25" s="47">
        <v>1</v>
      </c>
      <c r="N25" s="52"/>
      <c r="O25" s="61"/>
      <c r="P25" s="64"/>
      <c r="Q25" s="52"/>
      <c r="R25" s="34"/>
      <c r="S25" s="52"/>
      <c r="T25" s="52"/>
      <c r="U25" s="52"/>
    </row>
    <row r="26" spans="1:21" ht="12.75">
      <c r="A26" s="45" t="str">
        <f>'SF&amp;RfD'!A26</f>
        <v>Xylene(mixed)</v>
      </c>
      <c r="B26" s="26" t="str">
        <f>'SF&amp;RfD'!B26</f>
        <v>1330-20-7</v>
      </c>
      <c r="C26" s="62">
        <v>106.17</v>
      </c>
      <c r="D26" s="63">
        <v>129</v>
      </c>
      <c r="E26" s="62">
        <v>4</v>
      </c>
      <c r="F26" s="63">
        <v>0.0076</v>
      </c>
      <c r="G26" s="62">
        <v>1</v>
      </c>
      <c r="H26" s="63">
        <v>0.07</v>
      </c>
      <c r="I26" s="62">
        <v>1</v>
      </c>
      <c r="J26" s="63">
        <v>7.8E-06</v>
      </c>
      <c r="K26" s="62">
        <v>1</v>
      </c>
      <c r="L26" s="63">
        <v>160</v>
      </c>
      <c r="M26" s="47">
        <v>1</v>
      </c>
      <c r="N26" s="52"/>
      <c r="O26" s="61"/>
      <c r="P26" s="64"/>
      <c r="Q26" s="52"/>
      <c r="R26" s="34"/>
      <c r="S26" s="52"/>
      <c r="T26" s="52"/>
      <c r="U26" s="52"/>
    </row>
    <row r="27" spans="1:21" ht="12.75">
      <c r="A27" s="45" t="str">
        <f>'SF&amp;RfD'!A27</f>
        <v>Aliphatics C6-C8</v>
      </c>
      <c r="B27" s="26" t="str">
        <f>'SF&amp;RfD'!B27</f>
        <v>NA</v>
      </c>
      <c r="C27" s="62">
        <v>100</v>
      </c>
      <c r="D27" s="63">
        <v>3981.1</v>
      </c>
      <c r="E27" s="62">
        <v>10</v>
      </c>
      <c r="F27" s="63">
        <v>1.22</v>
      </c>
      <c r="G27" s="62">
        <v>10</v>
      </c>
      <c r="H27" s="63">
        <v>0.1</v>
      </c>
      <c r="I27" s="62">
        <v>10</v>
      </c>
      <c r="J27" s="63">
        <v>1E-05</v>
      </c>
      <c r="K27" s="62">
        <v>10</v>
      </c>
      <c r="L27" s="63" t="s">
        <v>95</v>
      </c>
      <c r="M27" s="47" t="s">
        <v>95</v>
      </c>
      <c r="N27" s="52"/>
      <c r="O27" s="61"/>
      <c r="P27" s="64"/>
      <c r="Q27" s="52"/>
      <c r="R27" s="34"/>
      <c r="S27" s="52"/>
      <c r="T27" s="52"/>
      <c r="U27" s="52"/>
    </row>
    <row r="28" spans="1:21" ht="12.75">
      <c r="A28" s="45" t="str">
        <f>'SF&amp;RfD'!A28</f>
        <v>Aliphatics &gt;C8-C10</v>
      </c>
      <c r="B28" s="26" t="str">
        <f>'SF&amp;RfD'!B28</f>
        <v>NA</v>
      </c>
      <c r="C28" s="62">
        <v>130</v>
      </c>
      <c r="D28" s="63">
        <v>31622.8</v>
      </c>
      <c r="E28" s="62">
        <v>10</v>
      </c>
      <c r="F28" s="63">
        <v>1.95</v>
      </c>
      <c r="G28" s="62">
        <v>10</v>
      </c>
      <c r="H28" s="63">
        <v>0.1</v>
      </c>
      <c r="I28" s="62">
        <v>10</v>
      </c>
      <c r="J28" s="63">
        <v>1E-05</v>
      </c>
      <c r="K28" s="62">
        <v>10</v>
      </c>
      <c r="L28" s="63" t="s">
        <v>95</v>
      </c>
      <c r="M28" s="47" t="s">
        <v>95</v>
      </c>
      <c r="N28" s="52"/>
      <c r="O28" s="61"/>
      <c r="P28" s="64"/>
      <c r="Q28" s="52"/>
      <c r="R28" s="34"/>
      <c r="S28" s="52"/>
      <c r="T28" s="52"/>
      <c r="U28" s="52"/>
    </row>
    <row r="29" spans="1:21" ht="12.75">
      <c r="A29" s="45" t="str">
        <f>'SF&amp;RfD'!A29</f>
        <v>Aliphatics &gt;C10-C12</v>
      </c>
      <c r="B29" s="26" t="str">
        <f>'SF&amp;RfD'!B29</f>
        <v>NA</v>
      </c>
      <c r="C29" s="62">
        <v>160</v>
      </c>
      <c r="D29" s="63">
        <v>251188.6</v>
      </c>
      <c r="E29" s="62">
        <v>10</v>
      </c>
      <c r="F29" s="63">
        <v>2.93</v>
      </c>
      <c r="G29" s="62">
        <v>10</v>
      </c>
      <c r="H29" s="63">
        <v>0.1</v>
      </c>
      <c r="I29" s="62">
        <v>10</v>
      </c>
      <c r="J29" s="63">
        <v>1E-05</v>
      </c>
      <c r="K29" s="62">
        <v>10</v>
      </c>
      <c r="L29" s="63" t="s">
        <v>95</v>
      </c>
      <c r="M29" s="47" t="s">
        <v>95</v>
      </c>
      <c r="N29" s="52"/>
      <c r="O29" s="61"/>
      <c r="P29" s="64"/>
      <c r="Q29" s="52"/>
      <c r="R29" s="34"/>
      <c r="S29" s="52"/>
      <c r="T29" s="52"/>
      <c r="U29" s="52"/>
    </row>
    <row r="30" spans="1:21" ht="12.75">
      <c r="A30" s="45" t="str">
        <f>'SF&amp;RfD'!A30</f>
        <v>Aliphatics &gt;C12-C16</v>
      </c>
      <c r="B30" s="26" t="str">
        <f>'SF&amp;RfD'!B30</f>
        <v>NA</v>
      </c>
      <c r="C30" s="62">
        <v>200</v>
      </c>
      <c r="D30" s="63">
        <v>5011872.3</v>
      </c>
      <c r="E30" s="62">
        <v>10</v>
      </c>
      <c r="F30" s="63">
        <v>12.7</v>
      </c>
      <c r="G30" s="62">
        <v>10</v>
      </c>
      <c r="H30" s="63">
        <v>0.1</v>
      </c>
      <c r="I30" s="62">
        <v>10</v>
      </c>
      <c r="J30" s="63">
        <v>1E-05</v>
      </c>
      <c r="K30" s="62">
        <v>10</v>
      </c>
      <c r="L30" s="63" t="s">
        <v>95</v>
      </c>
      <c r="M30" s="47" t="s">
        <v>95</v>
      </c>
      <c r="N30" s="52"/>
      <c r="O30" s="61"/>
      <c r="P30" s="64"/>
      <c r="Q30" s="52"/>
      <c r="R30" s="34"/>
      <c r="S30" s="52"/>
      <c r="T30" s="52"/>
      <c r="U30" s="52"/>
    </row>
    <row r="31" spans="1:21" ht="12.75">
      <c r="A31" s="45" t="str">
        <f>'SF&amp;RfD'!A31</f>
        <v>Aliphatics &gt;C16-C35</v>
      </c>
      <c r="B31" s="26" t="str">
        <f>'SF&amp;RfD'!B31</f>
        <v>NA</v>
      </c>
      <c r="C31" s="62">
        <v>270</v>
      </c>
      <c r="D31" s="63">
        <v>630957344</v>
      </c>
      <c r="E31" s="62">
        <v>10</v>
      </c>
      <c r="F31" s="63">
        <v>119.5</v>
      </c>
      <c r="G31" s="62">
        <v>10</v>
      </c>
      <c r="H31" s="63">
        <v>0.1</v>
      </c>
      <c r="I31" s="62">
        <v>10</v>
      </c>
      <c r="J31" s="63">
        <v>1E-05</v>
      </c>
      <c r="K31" s="62">
        <v>10</v>
      </c>
      <c r="L31" s="63" t="s">
        <v>95</v>
      </c>
      <c r="M31" s="47" t="s">
        <v>95</v>
      </c>
      <c r="N31" s="52"/>
      <c r="O31" s="61"/>
      <c r="P31" s="64"/>
      <c r="Q31" s="52"/>
      <c r="R31" s="34"/>
      <c r="S31" s="52"/>
      <c r="T31" s="52"/>
      <c r="U31" s="52"/>
    </row>
    <row r="32" spans="1:21" ht="12.75">
      <c r="A32" s="45" t="str">
        <f>'SF&amp;RfD'!A32</f>
        <v>Aromatics &gt;C8-C10</v>
      </c>
      <c r="B32" s="26" t="str">
        <f>'SF&amp;RfD'!B32</f>
        <v>NA</v>
      </c>
      <c r="C32" s="62">
        <v>120</v>
      </c>
      <c r="D32" s="63">
        <v>1584.9</v>
      </c>
      <c r="E32" s="62">
        <v>10</v>
      </c>
      <c r="F32" s="63">
        <v>0.0117</v>
      </c>
      <c r="G32" s="62">
        <v>10</v>
      </c>
      <c r="H32" s="63">
        <v>0.1</v>
      </c>
      <c r="I32" s="62">
        <v>10</v>
      </c>
      <c r="J32" s="63">
        <v>1E-05</v>
      </c>
      <c r="K32" s="62">
        <v>10</v>
      </c>
      <c r="L32" s="63" t="s">
        <v>95</v>
      </c>
      <c r="M32" s="47" t="s">
        <v>95</v>
      </c>
      <c r="N32" s="52"/>
      <c r="O32" s="61"/>
      <c r="P32" s="64"/>
      <c r="Q32" s="52"/>
      <c r="R32" s="34"/>
      <c r="S32" s="52"/>
      <c r="T32" s="52"/>
      <c r="U32" s="52"/>
    </row>
    <row r="33" spans="1:21" ht="12.75">
      <c r="A33" s="45" t="str">
        <f>'SF&amp;RfD'!A33</f>
        <v>Aromatics &gt;C10-C12</v>
      </c>
      <c r="B33" s="26" t="str">
        <f>'SF&amp;RfD'!B33</f>
        <v>NA</v>
      </c>
      <c r="C33" s="62">
        <v>130</v>
      </c>
      <c r="D33" s="63">
        <v>2511.9</v>
      </c>
      <c r="E33" s="62">
        <v>10</v>
      </c>
      <c r="F33" s="63">
        <v>0.00341</v>
      </c>
      <c r="G33" s="62">
        <v>10</v>
      </c>
      <c r="H33" s="63">
        <v>0.1</v>
      </c>
      <c r="I33" s="62">
        <v>10</v>
      </c>
      <c r="J33" s="63">
        <v>1E-05</v>
      </c>
      <c r="K33" s="62">
        <v>10</v>
      </c>
      <c r="L33" s="63" t="s">
        <v>95</v>
      </c>
      <c r="M33" s="47" t="s">
        <v>95</v>
      </c>
      <c r="N33" s="52"/>
      <c r="O33" s="61"/>
      <c r="P33" s="64"/>
      <c r="Q33" s="52"/>
      <c r="R33" s="34"/>
      <c r="S33" s="52"/>
      <c r="T33" s="52"/>
      <c r="U33" s="52"/>
    </row>
    <row r="34" spans="1:21" ht="12.75">
      <c r="A34" s="45" t="str">
        <f>'SF&amp;RfD'!A34</f>
        <v>Aromatics &gt;C12-C16</v>
      </c>
      <c r="B34" s="26" t="str">
        <f>'SF&amp;RfD'!B34</f>
        <v>NA</v>
      </c>
      <c r="C34" s="62">
        <v>150</v>
      </c>
      <c r="D34" s="63">
        <v>5011.9</v>
      </c>
      <c r="E34" s="62">
        <v>10</v>
      </c>
      <c r="F34" s="63">
        <v>0.00129</v>
      </c>
      <c r="G34" s="62">
        <v>10</v>
      </c>
      <c r="H34" s="63">
        <v>0.1</v>
      </c>
      <c r="I34" s="62">
        <v>10</v>
      </c>
      <c r="J34" s="63">
        <v>1E-05</v>
      </c>
      <c r="K34" s="62">
        <v>10</v>
      </c>
      <c r="L34" s="63" t="s">
        <v>95</v>
      </c>
      <c r="M34" s="47" t="s">
        <v>95</v>
      </c>
      <c r="N34" s="52"/>
      <c r="O34" s="61"/>
      <c r="P34" s="64"/>
      <c r="Q34" s="52"/>
      <c r="R34" s="34"/>
      <c r="S34" s="52"/>
      <c r="T34" s="52"/>
      <c r="U34" s="52"/>
    </row>
    <row r="35" spans="1:21" ht="12.75">
      <c r="A35" s="45" t="str">
        <f>'SF&amp;RfD'!A35</f>
        <v>Aromatics &gt;C16-C21</v>
      </c>
      <c r="B35" s="26" t="str">
        <f>'SF&amp;RfD'!B35</f>
        <v>NA</v>
      </c>
      <c r="C35" s="62">
        <v>190</v>
      </c>
      <c r="D35" s="63">
        <v>15848.9</v>
      </c>
      <c r="E35" s="62">
        <v>10</v>
      </c>
      <c r="F35" s="63">
        <v>0.000317</v>
      </c>
      <c r="G35" s="62">
        <v>10</v>
      </c>
      <c r="H35" s="63">
        <v>0.1</v>
      </c>
      <c r="I35" s="62">
        <v>10</v>
      </c>
      <c r="J35" s="63">
        <v>1E-05</v>
      </c>
      <c r="K35" s="62">
        <v>10</v>
      </c>
      <c r="L35" s="63" t="s">
        <v>95</v>
      </c>
      <c r="M35" s="47" t="s">
        <v>95</v>
      </c>
      <c r="N35" s="52"/>
      <c r="O35" s="61"/>
      <c r="P35" s="64"/>
      <c r="Q35" s="52"/>
      <c r="R35" s="34"/>
      <c r="S35" s="52"/>
      <c r="T35" s="52"/>
      <c r="U35" s="52"/>
    </row>
    <row r="36" spans="1:21" ht="12.75">
      <c r="A36" s="40" t="str">
        <f>'SF&amp;RfD'!A36</f>
        <v>Aromatics &gt;C21-C35</v>
      </c>
      <c r="B36" s="27" t="str">
        <f>'SF&amp;RfD'!B36</f>
        <v>NA</v>
      </c>
      <c r="C36" s="65">
        <v>240</v>
      </c>
      <c r="D36" s="66">
        <v>125892.5</v>
      </c>
      <c r="E36" s="65">
        <v>10</v>
      </c>
      <c r="F36" s="66">
        <v>1.63E-05</v>
      </c>
      <c r="G36" s="65">
        <v>10</v>
      </c>
      <c r="H36" s="66">
        <v>0.1</v>
      </c>
      <c r="I36" s="65">
        <v>10</v>
      </c>
      <c r="J36" s="66">
        <v>1E-05</v>
      </c>
      <c r="K36" s="65">
        <v>10</v>
      </c>
      <c r="L36" s="66" t="s">
        <v>95</v>
      </c>
      <c r="M36" s="48" t="s">
        <v>95</v>
      </c>
      <c r="N36" s="52"/>
      <c r="O36" s="61"/>
      <c r="P36" s="64"/>
      <c r="Q36" s="52"/>
      <c r="R36" s="34"/>
      <c r="S36" s="52"/>
      <c r="T36" s="52"/>
      <c r="U36" s="52"/>
    </row>
    <row r="37" spans="1:21" ht="12.75">
      <c r="A37" s="49"/>
      <c r="B37" s="67"/>
      <c r="C37" s="68"/>
      <c r="D37" s="69"/>
      <c r="E37" s="68"/>
      <c r="F37" s="69"/>
      <c r="G37" s="68"/>
      <c r="H37" s="69"/>
      <c r="I37" s="68"/>
      <c r="J37" s="69"/>
      <c r="K37" s="68"/>
      <c r="L37" s="69"/>
      <c r="M37" s="68"/>
      <c r="N37" s="52"/>
      <c r="O37" s="70"/>
      <c r="P37" s="71"/>
      <c r="Q37" s="52"/>
      <c r="R37" s="1"/>
      <c r="S37" s="52"/>
      <c r="T37" s="52"/>
      <c r="U37" s="52"/>
    </row>
    <row r="38" spans="1:21" ht="12.75">
      <c r="A38" s="72" t="s">
        <v>96</v>
      </c>
      <c r="B38" s="68"/>
      <c r="C38" s="68"/>
      <c r="D38" s="69"/>
      <c r="E38" s="68"/>
      <c r="F38" s="69"/>
      <c r="G38" s="68"/>
      <c r="H38" s="69"/>
      <c r="I38" s="68"/>
      <c r="J38" s="69"/>
      <c r="K38" s="68"/>
      <c r="L38" s="68"/>
      <c r="M38" s="68"/>
      <c r="N38" s="52"/>
      <c r="O38" s="73"/>
      <c r="P38" s="71"/>
      <c r="Q38" s="52"/>
      <c r="R38" s="1"/>
      <c r="S38" s="52"/>
      <c r="T38" s="52"/>
      <c r="U38" s="52"/>
    </row>
    <row r="39" spans="1:21" ht="12.75">
      <c r="A39" s="72" t="s">
        <v>454</v>
      </c>
      <c r="B39" s="72"/>
      <c r="C39" s="72"/>
      <c r="D39" s="72"/>
      <c r="E39" s="72"/>
      <c r="F39" s="49"/>
      <c r="G39" s="72"/>
      <c r="H39" s="72"/>
      <c r="I39" s="72"/>
      <c r="J39" s="68"/>
      <c r="K39" s="72"/>
      <c r="L39" s="49"/>
      <c r="M39" s="68"/>
      <c r="N39" s="52"/>
      <c r="O39" s="73"/>
      <c r="P39" s="52"/>
      <c r="Q39" s="52"/>
      <c r="R39" s="52"/>
      <c r="S39" s="52"/>
      <c r="T39" s="52"/>
      <c r="U39" s="52"/>
    </row>
    <row r="40" spans="1:21" ht="12.75">
      <c r="A40" s="72" t="s">
        <v>455</v>
      </c>
      <c r="B40" s="72"/>
      <c r="C40" s="72"/>
      <c r="D40" s="72"/>
      <c r="E40" s="72"/>
      <c r="F40" s="49"/>
      <c r="G40" s="68"/>
      <c r="H40" s="68"/>
      <c r="I40" s="68"/>
      <c r="J40" s="68"/>
      <c r="K40" s="49"/>
      <c r="L40" s="68"/>
      <c r="M40" s="68"/>
      <c r="N40" s="52"/>
      <c r="O40" s="73"/>
      <c r="P40" s="52"/>
      <c r="Q40" s="52"/>
      <c r="R40" s="52"/>
      <c r="S40" s="52"/>
      <c r="T40" s="52"/>
      <c r="U40" s="52"/>
    </row>
    <row r="41" spans="1:21" ht="12.75">
      <c r="A41" s="72" t="s">
        <v>456</v>
      </c>
      <c r="B41" s="72"/>
      <c r="C41" s="72"/>
      <c r="D41" s="72"/>
      <c r="E41" s="72"/>
      <c r="F41" s="49"/>
      <c r="G41" s="68"/>
      <c r="H41" s="68"/>
      <c r="I41" s="68"/>
      <c r="J41" s="68"/>
      <c r="K41" s="68"/>
      <c r="L41" s="68"/>
      <c r="M41" s="68"/>
      <c r="N41" s="52"/>
      <c r="O41" s="73"/>
      <c r="P41" s="52"/>
      <c r="Q41" s="52"/>
      <c r="R41" s="52"/>
      <c r="S41" s="52"/>
      <c r="T41" s="52"/>
      <c r="U41" s="52"/>
    </row>
    <row r="42" spans="1:21" ht="12.75">
      <c r="A42" s="72" t="s">
        <v>457</v>
      </c>
      <c r="B42" s="72"/>
      <c r="C42" s="72"/>
      <c r="D42" s="72"/>
      <c r="E42" s="72"/>
      <c r="F42" s="49"/>
      <c r="G42" s="68"/>
      <c r="H42" s="68"/>
      <c r="I42" s="68"/>
      <c r="J42" s="68"/>
      <c r="K42" s="68"/>
      <c r="L42" s="68"/>
      <c r="M42" s="68"/>
      <c r="N42" s="52"/>
      <c r="O42" s="73"/>
      <c r="P42" s="52"/>
      <c r="Q42" s="52"/>
      <c r="R42" s="52"/>
      <c r="S42" s="52"/>
      <c r="T42" s="52"/>
      <c r="U42" s="52"/>
    </row>
    <row r="43" spans="1:21" ht="12.75">
      <c r="A43" s="72" t="s">
        <v>99</v>
      </c>
      <c r="B43" s="72"/>
      <c r="C43" s="72"/>
      <c r="D43" s="72"/>
      <c r="E43" s="72"/>
      <c r="F43" s="49"/>
      <c r="G43" s="68"/>
      <c r="H43" s="68"/>
      <c r="I43" s="68"/>
      <c r="J43" s="68"/>
      <c r="K43" s="68"/>
      <c r="L43" s="68"/>
      <c r="M43" s="68"/>
      <c r="N43" s="52"/>
      <c r="O43" s="73"/>
      <c r="P43" s="52"/>
      <c r="Q43" s="52"/>
      <c r="R43" s="52"/>
      <c r="S43" s="52"/>
      <c r="T43" s="52"/>
      <c r="U43" s="52"/>
    </row>
    <row r="44" spans="1:13" ht="12.75">
      <c r="A44" s="72" t="s">
        <v>97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>
      <c r="A45" s="72" t="s">
        <v>98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72" t="s">
        <v>452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72" t="s">
        <v>458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72" t="s">
        <v>459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74" t="s">
        <v>453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2:13" ht="12.7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20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75"/>
      <c r="O51" s="75"/>
      <c r="P51" s="75"/>
      <c r="Q51" s="75"/>
      <c r="R51" s="75"/>
      <c r="S51" s="75"/>
      <c r="T51" s="75"/>
    </row>
    <row r="52" spans="1:20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1:20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1:20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20" ht="12.75">
      <c r="A55" s="119" t="str">
        <f>'SF&amp;RfD'!A55</f>
        <v>ADDITIONAL COMPOUNDS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1:20" ht="12.75">
      <c r="A56" s="112" t="str">
        <f>'SF&amp;RfD'!A56</f>
        <v>ORGANIC COUMPOUNDS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75"/>
      <c r="O56" s="75"/>
      <c r="P56" s="75"/>
      <c r="Q56" s="75"/>
      <c r="R56" s="75"/>
      <c r="S56" s="75"/>
      <c r="T56" s="75"/>
    </row>
    <row r="57" spans="1:20" ht="12.75">
      <c r="A57" s="29" t="str">
        <f>'SF&amp;RfD'!A57</f>
        <v>Benzene</v>
      </c>
      <c r="B57" s="30" t="str">
        <f>'SF&amp;RfD'!B57</f>
        <v>71-43-2</v>
      </c>
      <c r="C57" s="31">
        <v>78.11</v>
      </c>
      <c r="D57" s="32">
        <v>61.7</v>
      </c>
      <c r="E57" s="31">
        <v>1</v>
      </c>
      <c r="F57" s="32">
        <v>0.00555</v>
      </c>
      <c r="G57" s="31">
        <v>1</v>
      </c>
      <c r="H57" s="32">
        <v>0.088</v>
      </c>
      <c r="I57" s="31">
        <v>1</v>
      </c>
      <c r="J57" s="32">
        <v>9.8E-06</v>
      </c>
      <c r="K57" s="31">
        <v>1</v>
      </c>
      <c r="L57" s="32">
        <v>1750</v>
      </c>
      <c r="M57" s="105">
        <v>1</v>
      </c>
      <c r="N57" s="106"/>
      <c r="O57" s="107"/>
      <c r="P57" s="106"/>
      <c r="Q57" s="106"/>
      <c r="R57" s="108"/>
      <c r="S57" s="109"/>
      <c r="T57" s="109"/>
    </row>
    <row r="58" spans="1:20" ht="12.75">
      <c r="A58" s="29" t="str">
        <f>'SF&amp;RfD'!A58</f>
        <v>Benzene</v>
      </c>
      <c r="B58" s="30" t="str">
        <f>'SF&amp;RfD'!B58</f>
        <v>71-43-2</v>
      </c>
      <c r="C58" s="31">
        <v>78.11</v>
      </c>
      <c r="D58" s="32">
        <v>61.7</v>
      </c>
      <c r="E58" s="31">
        <v>1</v>
      </c>
      <c r="F58" s="32">
        <v>0.00555</v>
      </c>
      <c r="G58" s="31">
        <v>1</v>
      </c>
      <c r="H58" s="32">
        <v>0.088</v>
      </c>
      <c r="I58" s="31">
        <v>1</v>
      </c>
      <c r="J58" s="32">
        <v>9.8E-06</v>
      </c>
      <c r="K58" s="31">
        <v>1</v>
      </c>
      <c r="L58" s="32">
        <v>1750</v>
      </c>
      <c r="M58" s="105">
        <v>1</v>
      </c>
      <c r="N58" s="106"/>
      <c r="O58" s="107"/>
      <c r="P58" s="106"/>
      <c r="Q58" s="106"/>
      <c r="R58" s="108"/>
      <c r="S58" s="109"/>
      <c r="T58" s="109"/>
    </row>
    <row r="59" spans="1:20" ht="12.75">
      <c r="A59" s="29" t="str">
        <f>'SF&amp;RfD'!A59</f>
        <v>Benzene</v>
      </c>
      <c r="B59" s="30" t="str">
        <f>'SF&amp;RfD'!B59</f>
        <v>71-43-2</v>
      </c>
      <c r="C59" s="31">
        <v>78.11</v>
      </c>
      <c r="D59" s="32">
        <v>61.7</v>
      </c>
      <c r="E59" s="31">
        <v>1</v>
      </c>
      <c r="F59" s="32">
        <v>0.00555</v>
      </c>
      <c r="G59" s="31">
        <v>1</v>
      </c>
      <c r="H59" s="32">
        <v>0.088</v>
      </c>
      <c r="I59" s="31">
        <v>1</v>
      </c>
      <c r="J59" s="32">
        <v>9.8E-06</v>
      </c>
      <c r="K59" s="31">
        <v>1</v>
      </c>
      <c r="L59" s="32">
        <v>1750</v>
      </c>
      <c r="M59" s="105">
        <v>1</v>
      </c>
      <c r="N59" s="106"/>
      <c r="O59" s="107"/>
      <c r="P59" s="106"/>
      <c r="Q59" s="106"/>
      <c r="R59" s="108"/>
      <c r="S59" s="109"/>
      <c r="T59" s="109"/>
    </row>
    <row r="60" spans="1:20" ht="12.75">
      <c r="A60" s="29" t="str">
        <f>'SF&amp;RfD'!A60</f>
        <v>Benzene</v>
      </c>
      <c r="B60" s="30" t="str">
        <f>'SF&amp;RfD'!B60</f>
        <v>71-43-2</v>
      </c>
      <c r="C60" s="31">
        <v>78.11</v>
      </c>
      <c r="D60" s="32">
        <v>61.7</v>
      </c>
      <c r="E60" s="31">
        <v>1</v>
      </c>
      <c r="F60" s="32">
        <v>0.00555</v>
      </c>
      <c r="G60" s="31">
        <v>1</v>
      </c>
      <c r="H60" s="32">
        <v>0.088</v>
      </c>
      <c r="I60" s="31">
        <v>1</v>
      </c>
      <c r="J60" s="32">
        <v>9.8E-06</v>
      </c>
      <c r="K60" s="31">
        <v>1</v>
      </c>
      <c r="L60" s="32">
        <v>1750</v>
      </c>
      <c r="M60" s="105">
        <v>1</v>
      </c>
      <c r="N60" s="106"/>
      <c r="O60" s="107"/>
      <c r="P60" s="106"/>
      <c r="Q60" s="106"/>
      <c r="R60" s="108"/>
      <c r="S60" s="109"/>
      <c r="T60" s="109"/>
    </row>
    <row r="61" spans="1:20" ht="12.75">
      <c r="A61" s="29" t="str">
        <f>'SF&amp;RfD'!A61</f>
        <v>Benzene</v>
      </c>
      <c r="B61" s="30" t="str">
        <f>'SF&amp;RfD'!B61</f>
        <v>71-43-2</v>
      </c>
      <c r="C61" s="31">
        <v>78.11</v>
      </c>
      <c r="D61" s="32">
        <v>61.7</v>
      </c>
      <c r="E61" s="31">
        <v>1</v>
      </c>
      <c r="F61" s="32">
        <v>0.00555</v>
      </c>
      <c r="G61" s="31">
        <v>1</v>
      </c>
      <c r="H61" s="32">
        <v>0.088</v>
      </c>
      <c r="I61" s="31">
        <v>1</v>
      </c>
      <c r="J61" s="32">
        <v>9.8E-06</v>
      </c>
      <c r="K61" s="31">
        <v>1</v>
      </c>
      <c r="L61" s="32">
        <v>1750</v>
      </c>
      <c r="M61" s="105">
        <v>1</v>
      </c>
      <c r="N61" s="106"/>
      <c r="O61" s="107"/>
      <c r="P61" s="106"/>
      <c r="Q61" s="106"/>
      <c r="R61" s="108"/>
      <c r="S61" s="109"/>
      <c r="T61" s="109"/>
    </row>
    <row r="62" spans="1:20" ht="12.75">
      <c r="A62" s="29" t="str">
        <f>'SF&amp;RfD'!A62</f>
        <v>Benzene</v>
      </c>
      <c r="B62" s="30" t="str">
        <f>'SF&amp;RfD'!B62</f>
        <v>71-43-2</v>
      </c>
      <c r="C62" s="31">
        <v>78.11</v>
      </c>
      <c r="D62" s="32">
        <v>61.7</v>
      </c>
      <c r="E62" s="31">
        <v>1</v>
      </c>
      <c r="F62" s="32">
        <v>0.00555</v>
      </c>
      <c r="G62" s="31">
        <v>1</v>
      </c>
      <c r="H62" s="32">
        <v>0.088</v>
      </c>
      <c r="I62" s="31">
        <v>1</v>
      </c>
      <c r="J62" s="32">
        <v>9.8E-06</v>
      </c>
      <c r="K62" s="31">
        <v>1</v>
      </c>
      <c r="L62" s="32">
        <v>1750</v>
      </c>
      <c r="M62" s="105">
        <v>1</v>
      </c>
      <c r="N62" s="106"/>
      <c r="O62" s="107"/>
      <c r="P62" s="106"/>
      <c r="Q62" s="106"/>
      <c r="R62" s="108"/>
      <c r="S62" s="109"/>
      <c r="T62" s="109"/>
    </row>
    <row r="63" spans="1:20" ht="12.75">
      <c r="A63" s="29" t="str">
        <f>'SF&amp;RfD'!A63</f>
        <v>Formaldehyde</v>
      </c>
      <c r="B63" s="30" t="str">
        <f>'SF&amp;RfD'!B63</f>
        <v>50-00-0</v>
      </c>
      <c r="C63" s="31">
        <v>30.03</v>
      </c>
      <c r="D63" s="32">
        <v>3.63</v>
      </c>
      <c r="E63" s="31">
        <v>5</v>
      </c>
      <c r="F63" s="32">
        <v>3.4E-07</v>
      </c>
      <c r="G63" s="31">
        <v>2</v>
      </c>
      <c r="H63" s="32">
        <v>0.18</v>
      </c>
      <c r="I63" s="31">
        <v>3</v>
      </c>
      <c r="J63" s="32">
        <v>2E-05</v>
      </c>
      <c r="K63" s="31">
        <v>3</v>
      </c>
      <c r="L63" s="32">
        <v>550000</v>
      </c>
      <c r="M63" s="105">
        <v>2</v>
      </c>
      <c r="N63" s="106"/>
      <c r="O63" s="107"/>
      <c r="P63" s="106"/>
      <c r="Q63" s="106"/>
      <c r="R63" s="108"/>
      <c r="S63" s="109"/>
      <c r="T63" s="109"/>
    </row>
    <row r="64" spans="1:20" ht="12.75">
      <c r="A64" s="29"/>
      <c r="B64" s="30"/>
      <c r="C64" s="31"/>
      <c r="D64" s="32"/>
      <c r="E64" s="31"/>
      <c r="F64" s="32"/>
      <c r="G64" s="31"/>
      <c r="H64" s="32"/>
      <c r="I64" s="31"/>
      <c r="J64" s="32"/>
      <c r="K64" s="31"/>
      <c r="L64" s="32"/>
      <c r="M64" s="105"/>
      <c r="N64" s="106"/>
      <c r="O64" s="107"/>
      <c r="P64" s="106"/>
      <c r="Q64" s="106"/>
      <c r="R64" s="108"/>
      <c r="S64" s="109"/>
      <c r="T64" s="109"/>
    </row>
    <row r="65" spans="1:20" ht="12.75">
      <c r="A65" s="29"/>
      <c r="B65" s="30"/>
      <c r="C65" s="31"/>
      <c r="D65" s="32"/>
      <c r="E65" s="31"/>
      <c r="F65" s="32"/>
      <c r="G65" s="31"/>
      <c r="H65" s="32"/>
      <c r="I65" s="31"/>
      <c r="J65" s="32"/>
      <c r="K65" s="31"/>
      <c r="L65" s="32"/>
      <c r="M65" s="105"/>
      <c r="N65" s="106"/>
      <c r="O65" s="107"/>
      <c r="P65" s="106"/>
      <c r="Q65" s="106"/>
      <c r="R65" s="108"/>
      <c r="S65" s="109"/>
      <c r="T65" s="109"/>
    </row>
    <row r="66" spans="1:20" ht="12.75">
      <c r="A66" s="29" t="str">
        <f>'SF&amp;RfD'!A66</f>
        <v>INORGANIC COMPOUNDS</v>
      </c>
      <c r="B66" s="30"/>
      <c r="C66" s="31"/>
      <c r="D66" s="32"/>
      <c r="E66" s="31"/>
      <c r="F66" s="32"/>
      <c r="G66" s="31"/>
      <c r="H66" s="32"/>
      <c r="I66" s="31"/>
      <c r="J66" s="32"/>
      <c r="K66" s="31"/>
      <c r="L66" s="32"/>
      <c r="M66" s="105"/>
      <c r="N66" s="106"/>
      <c r="O66" s="107"/>
      <c r="P66" s="106"/>
      <c r="Q66" s="106"/>
      <c r="R66" s="108"/>
      <c r="S66" s="109"/>
      <c r="T66" s="109"/>
    </row>
    <row r="67" spans="1:20" ht="12.75">
      <c r="A67" s="29" t="str">
        <f>'SF&amp;RfD'!A67</f>
        <v>Antimony</v>
      </c>
      <c r="B67" s="30" t="str">
        <f>'SF&amp;RfD'!B67</f>
        <v>7440-36-0</v>
      </c>
      <c r="C67" s="31">
        <v>121.75</v>
      </c>
      <c r="D67" s="32" t="s">
        <v>95</v>
      </c>
      <c r="E67" s="31" t="s">
        <v>95</v>
      </c>
      <c r="F67" s="32" t="s">
        <v>95</v>
      </c>
      <c r="G67" s="31" t="s">
        <v>95</v>
      </c>
      <c r="H67" s="32" t="s">
        <v>95</v>
      </c>
      <c r="I67" s="31" t="s">
        <v>95</v>
      </c>
      <c r="J67" s="32" t="s">
        <v>95</v>
      </c>
      <c r="K67" s="31" t="s">
        <v>95</v>
      </c>
      <c r="L67" s="32" t="s">
        <v>95</v>
      </c>
      <c r="M67" s="105" t="s">
        <v>95</v>
      </c>
      <c r="N67" s="106"/>
      <c r="O67" s="107"/>
      <c r="P67" s="106"/>
      <c r="Q67" s="106"/>
      <c r="R67" s="108"/>
      <c r="S67" s="109"/>
      <c r="T67" s="109"/>
    </row>
    <row r="68" spans="1:22" ht="12.75">
      <c r="A68" s="29" t="str">
        <f>'SF&amp;RfD'!A68</f>
        <v>Antimony</v>
      </c>
      <c r="B68" s="30" t="str">
        <f>'SF&amp;RfD'!B68</f>
        <v>7440-36-0</v>
      </c>
      <c r="C68" s="31">
        <v>121.75</v>
      </c>
      <c r="D68" s="32" t="s">
        <v>95</v>
      </c>
      <c r="E68" s="31" t="s">
        <v>95</v>
      </c>
      <c r="F68" s="32" t="s">
        <v>95</v>
      </c>
      <c r="G68" s="31" t="s">
        <v>95</v>
      </c>
      <c r="H68" s="32" t="s">
        <v>95</v>
      </c>
      <c r="I68" s="31" t="s">
        <v>95</v>
      </c>
      <c r="J68" s="32" t="s">
        <v>95</v>
      </c>
      <c r="K68" s="31" t="s">
        <v>95</v>
      </c>
      <c r="L68" s="32" t="s">
        <v>95</v>
      </c>
      <c r="M68" s="105" t="s">
        <v>95</v>
      </c>
      <c r="N68" s="106"/>
      <c r="O68" s="107"/>
      <c r="P68" s="106"/>
      <c r="Q68" s="106"/>
      <c r="R68" s="108"/>
      <c r="S68" s="109"/>
      <c r="T68" s="109"/>
      <c r="U68" s="76"/>
      <c r="V68" s="76"/>
    </row>
    <row r="69" spans="1:22" ht="12.75">
      <c r="A69" s="29" t="str">
        <f>'SF&amp;RfD'!A69</f>
        <v>Antimony</v>
      </c>
      <c r="B69" s="30" t="str">
        <f>'SF&amp;RfD'!B69</f>
        <v>7440-36-0</v>
      </c>
      <c r="C69" s="31">
        <v>121.75</v>
      </c>
      <c r="D69" s="32" t="s">
        <v>95</v>
      </c>
      <c r="E69" s="31" t="s">
        <v>95</v>
      </c>
      <c r="F69" s="32" t="s">
        <v>95</v>
      </c>
      <c r="G69" s="31" t="s">
        <v>95</v>
      </c>
      <c r="H69" s="32" t="s">
        <v>95</v>
      </c>
      <c r="I69" s="31" t="s">
        <v>95</v>
      </c>
      <c r="J69" s="32" t="s">
        <v>95</v>
      </c>
      <c r="K69" s="31" t="s">
        <v>95</v>
      </c>
      <c r="L69" s="32" t="s">
        <v>95</v>
      </c>
      <c r="M69" s="105" t="s">
        <v>95</v>
      </c>
      <c r="N69" s="106"/>
      <c r="O69" s="107"/>
      <c r="P69" s="106"/>
      <c r="Q69" s="106"/>
      <c r="R69" s="108"/>
      <c r="S69" s="109"/>
      <c r="T69" s="109"/>
      <c r="U69" s="76"/>
      <c r="V69" s="76"/>
    </row>
    <row r="70" spans="1:22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8"/>
      <c r="V70" s="76"/>
    </row>
    <row r="71" spans="1:22" ht="12.75">
      <c r="A71" s="72"/>
      <c r="B71" s="72"/>
      <c r="C71" s="72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2"/>
      <c r="O71" s="72"/>
      <c r="P71" s="72"/>
      <c r="Q71" s="72"/>
      <c r="R71" s="72"/>
      <c r="S71" s="72"/>
      <c r="T71" s="72"/>
      <c r="U71" s="6"/>
      <c r="V71" s="76"/>
    </row>
    <row r="72" spans="1:22" ht="12.75">
      <c r="A72" s="72"/>
      <c r="B72" s="72"/>
      <c r="C72" s="72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2"/>
      <c r="O72" s="72"/>
      <c r="P72" s="72"/>
      <c r="Q72" s="72"/>
      <c r="R72" s="72"/>
      <c r="S72" s="72"/>
      <c r="T72" s="72"/>
      <c r="U72" s="6"/>
      <c r="V72" s="76"/>
    </row>
    <row r="73" spans="1:22" ht="12.75">
      <c r="A73" s="72"/>
      <c r="B73" s="72"/>
      <c r="C73" s="72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2"/>
      <c r="O73" s="72"/>
      <c r="P73" s="72"/>
      <c r="Q73" s="72"/>
      <c r="R73" s="72"/>
      <c r="S73" s="72"/>
      <c r="T73" s="72"/>
      <c r="U73" s="6"/>
      <c r="V73" s="76"/>
    </row>
    <row r="74" spans="1:22" ht="12.75">
      <c r="A74" s="79"/>
      <c r="B74" s="79"/>
      <c r="C74" s="79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9"/>
      <c r="O74" s="79"/>
      <c r="P74" s="79"/>
      <c r="Q74" s="79"/>
      <c r="R74" s="79"/>
      <c r="S74" s="79"/>
      <c r="T74" s="79"/>
      <c r="U74" s="6"/>
      <c r="V74" s="76"/>
    </row>
    <row r="75" spans="1:22" ht="12.75">
      <c r="A75" s="79"/>
      <c r="B75" s="79"/>
      <c r="C75" s="79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9"/>
      <c r="O75" s="79"/>
      <c r="P75" s="79"/>
      <c r="Q75" s="79"/>
      <c r="R75" s="79"/>
      <c r="S75" s="79"/>
      <c r="T75" s="79"/>
      <c r="U75" s="6"/>
      <c r="V75" s="76"/>
    </row>
    <row r="76" spans="1:22" ht="12.75">
      <c r="A76" s="79"/>
      <c r="B76" s="79"/>
      <c r="C76" s="79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9"/>
      <c r="O76" s="79"/>
      <c r="P76" s="79"/>
      <c r="Q76" s="79"/>
      <c r="R76" s="79"/>
      <c r="S76" s="79"/>
      <c r="T76" s="79"/>
      <c r="U76" s="6"/>
      <c r="V76" s="76"/>
    </row>
    <row r="77" spans="1:22" ht="12.75">
      <c r="A77" s="79"/>
      <c r="B77" s="79"/>
      <c r="C77" s="79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9"/>
      <c r="O77" s="79"/>
      <c r="P77" s="79"/>
      <c r="Q77" s="79"/>
      <c r="R77" s="79"/>
      <c r="S77" s="79"/>
      <c r="T77" s="79"/>
      <c r="U77" s="6"/>
      <c r="V77" s="76"/>
    </row>
    <row r="78" spans="1:22" ht="12.75">
      <c r="A78" s="79"/>
      <c r="B78" s="79"/>
      <c r="C78" s="79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9"/>
      <c r="O78" s="79"/>
      <c r="P78" s="79"/>
      <c r="Q78" s="79"/>
      <c r="R78" s="79"/>
      <c r="S78" s="79"/>
      <c r="T78" s="79"/>
      <c r="U78" s="6"/>
      <c r="V78" s="76"/>
    </row>
    <row r="79" spans="1:22" ht="12.75">
      <c r="A79" s="79"/>
      <c r="B79" s="79"/>
      <c r="C79" s="79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9"/>
      <c r="O79" s="79"/>
      <c r="P79" s="79"/>
      <c r="Q79" s="79"/>
      <c r="R79" s="79"/>
      <c r="S79" s="79"/>
      <c r="T79" s="79"/>
      <c r="U79" s="6"/>
      <c r="V79" s="76"/>
    </row>
    <row r="80" spans="1:22" ht="12.75">
      <c r="A80" s="79"/>
      <c r="B80" s="79"/>
      <c r="C80" s="79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9"/>
      <c r="O80" s="79"/>
      <c r="P80" s="79"/>
      <c r="Q80" s="79"/>
      <c r="R80" s="79"/>
      <c r="S80" s="79"/>
      <c r="T80" s="79"/>
      <c r="U80" s="6"/>
      <c r="V80" s="76"/>
    </row>
    <row r="81" spans="1:22" ht="12.75">
      <c r="A81" s="79"/>
      <c r="B81" s="79"/>
      <c r="C81" s="79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9"/>
      <c r="O81" s="79"/>
      <c r="P81" s="79"/>
      <c r="Q81" s="79"/>
      <c r="R81" s="79"/>
      <c r="S81" s="79"/>
      <c r="T81" s="79"/>
      <c r="U81" s="6"/>
      <c r="V81" s="76"/>
    </row>
    <row r="82" spans="1:22" ht="12.75">
      <c r="A82" s="79"/>
      <c r="B82" s="79"/>
      <c r="C82" s="79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9"/>
      <c r="O82" s="79"/>
      <c r="P82" s="79"/>
      <c r="Q82" s="79"/>
      <c r="R82" s="79"/>
      <c r="S82" s="79"/>
      <c r="T82" s="79"/>
      <c r="U82" s="6"/>
      <c r="V82" s="76"/>
    </row>
    <row r="83" spans="1:22" ht="12.75">
      <c r="A83" s="79"/>
      <c r="B83" s="79"/>
      <c r="C83" s="79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9"/>
      <c r="O83" s="79"/>
      <c r="P83" s="79"/>
      <c r="Q83" s="79"/>
      <c r="R83" s="79"/>
      <c r="S83" s="79"/>
      <c r="T83" s="79"/>
      <c r="U83" s="6"/>
      <c r="V83" s="76"/>
    </row>
    <row r="84" spans="1:22" ht="12.75">
      <c r="A84" s="79"/>
      <c r="B84" s="79"/>
      <c r="C84" s="79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9"/>
      <c r="O84" s="79"/>
      <c r="P84" s="79"/>
      <c r="Q84" s="79"/>
      <c r="R84" s="79"/>
      <c r="S84" s="79"/>
      <c r="T84" s="79"/>
      <c r="U84" s="6"/>
      <c r="V84" s="76"/>
    </row>
    <row r="85" spans="1:22" ht="12.75">
      <c r="A85" s="79"/>
      <c r="B85" s="79"/>
      <c r="C85" s="79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9"/>
      <c r="O85" s="79"/>
      <c r="P85" s="79"/>
      <c r="Q85" s="79"/>
      <c r="R85" s="79"/>
      <c r="S85" s="79"/>
      <c r="T85" s="79"/>
      <c r="U85" s="6"/>
      <c r="V85" s="76"/>
    </row>
    <row r="86" spans="1:22" ht="12.75">
      <c r="A86" s="79"/>
      <c r="B86" s="79"/>
      <c r="C86" s="79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9"/>
      <c r="O86" s="79"/>
      <c r="P86" s="79"/>
      <c r="Q86" s="79"/>
      <c r="R86" s="79"/>
      <c r="S86" s="79"/>
      <c r="T86" s="79"/>
      <c r="U86" s="6"/>
      <c r="V86" s="76"/>
    </row>
    <row r="87" spans="1:22" ht="12.75">
      <c r="A87" s="79"/>
      <c r="B87" s="79"/>
      <c r="C87" s="79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9"/>
      <c r="O87" s="79"/>
      <c r="P87" s="79"/>
      <c r="Q87" s="79"/>
      <c r="R87" s="79"/>
      <c r="S87" s="79"/>
      <c r="T87" s="79"/>
      <c r="U87" s="6"/>
      <c r="V87" s="76"/>
    </row>
    <row r="88" spans="1:22" ht="12.75">
      <c r="A88" s="79"/>
      <c r="B88" s="79"/>
      <c r="C88" s="79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9"/>
      <c r="O88" s="79"/>
      <c r="P88" s="79"/>
      <c r="Q88" s="79"/>
      <c r="R88" s="79"/>
      <c r="S88" s="79"/>
      <c r="T88" s="79"/>
      <c r="U88" s="6"/>
      <c r="V88" s="76"/>
    </row>
    <row r="89" spans="1:22" ht="12.75">
      <c r="A89" s="79"/>
      <c r="B89" s="79"/>
      <c r="C89" s="79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9"/>
      <c r="O89" s="79"/>
      <c r="P89" s="79"/>
      <c r="Q89" s="79"/>
      <c r="R89" s="79"/>
      <c r="S89" s="79"/>
      <c r="T89" s="79"/>
      <c r="U89" s="6"/>
      <c r="V89" s="76"/>
    </row>
    <row r="90" spans="1:22" ht="12.75">
      <c r="A90" s="79"/>
      <c r="B90" s="79"/>
      <c r="C90" s="79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9"/>
      <c r="O90" s="79"/>
      <c r="P90" s="79"/>
      <c r="Q90" s="79"/>
      <c r="R90" s="79"/>
      <c r="S90" s="79"/>
      <c r="T90" s="79"/>
      <c r="U90" s="6"/>
      <c r="V90" s="76"/>
    </row>
    <row r="91" spans="1:22" ht="12.75">
      <c r="A91" s="79"/>
      <c r="B91" s="79"/>
      <c r="C91" s="79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9"/>
      <c r="O91" s="79"/>
      <c r="P91" s="79"/>
      <c r="Q91" s="79"/>
      <c r="R91" s="79"/>
      <c r="S91" s="79"/>
      <c r="T91" s="79"/>
      <c r="U91" s="6"/>
      <c r="V91" s="76"/>
    </row>
    <row r="92" spans="1:22" ht="12.75">
      <c r="A92" s="79"/>
      <c r="B92" s="79"/>
      <c r="C92" s="79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9"/>
      <c r="O92" s="79"/>
      <c r="P92" s="79"/>
      <c r="Q92" s="79"/>
      <c r="R92" s="79"/>
      <c r="S92" s="79"/>
      <c r="T92" s="79"/>
      <c r="U92" s="6"/>
      <c r="V92" s="76"/>
    </row>
    <row r="93" spans="1:22" ht="12.75">
      <c r="A93" s="79"/>
      <c r="B93" s="79"/>
      <c r="C93" s="79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9"/>
      <c r="O93" s="79"/>
      <c r="P93" s="79"/>
      <c r="Q93" s="79"/>
      <c r="R93" s="79"/>
      <c r="S93" s="79"/>
      <c r="T93" s="79"/>
      <c r="U93" s="6"/>
      <c r="V93" s="76"/>
    </row>
    <row r="94" spans="1:22" ht="12.75">
      <c r="A94" s="79"/>
      <c r="B94" s="79"/>
      <c r="C94" s="79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9"/>
      <c r="O94" s="79"/>
      <c r="P94" s="79"/>
      <c r="Q94" s="79"/>
      <c r="R94" s="79"/>
      <c r="S94" s="79"/>
      <c r="T94" s="79"/>
      <c r="U94" s="6"/>
      <c r="V94" s="76"/>
    </row>
    <row r="95" spans="1:22" ht="12.75">
      <c r="A95" s="79"/>
      <c r="B95" s="79"/>
      <c r="C95" s="79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9"/>
      <c r="O95" s="79"/>
      <c r="P95" s="79"/>
      <c r="Q95" s="79"/>
      <c r="R95" s="79"/>
      <c r="S95" s="79"/>
      <c r="T95" s="79"/>
      <c r="U95" s="6"/>
      <c r="V95" s="76"/>
    </row>
    <row r="96" spans="1:22" ht="12.75">
      <c r="A96" s="79"/>
      <c r="B96" s="79"/>
      <c r="C96" s="79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9"/>
      <c r="O96" s="79"/>
      <c r="P96" s="79"/>
      <c r="Q96" s="79"/>
      <c r="R96" s="79"/>
      <c r="S96" s="79"/>
      <c r="T96" s="79"/>
      <c r="U96" s="6"/>
      <c r="V96" s="76"/>
    </row>
    <row r="97" spans="1:22" ht="12.75">
      <c r="A97" s="79"/>
      <c r="B97" s="79"/>
      <c r="C97" s="79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9"/>
      <c r="O97" s="79"/>
      <c r="P97" s="79"/>
      <c r="Q97" s="79"/>
      <c r="R97" s="79"/>
      <c r="S97" s="79"/>
      <c r="T97" s="79"/>
      <c r="U97" s="6"/>
      <c r="V97" s="76"/>
    </row>
    <row r="98" spans="1:22" ht="12.75">
      <c r="A98" s="79"/>
      <c r="B98" s="79"/>
      <c r="C98" s="79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9"/>
      <c r="O98" s="79"/>
      <c r="P98" s="79"/>
      <c r="Q98" s="79"/>
      <c r="R98" s="79"/>
      <c r="S98" s="79"/>
      <c r="T98" s="79"/>
      <c r="U98" s="6"/>
      <c r="V98" s="76"/>
    </row>
    <row r="99" spans="1:22" ht="12.75">
      <c r="A99" s="79"/>
      <c r="B99" s="79"/>
      <c r="C99" s="79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9"/>
      <c r="O99" s="79"/>
      <c r="P99" s="79"/>
      <c r="Q99" s="79"/>
      <c r="R99" s="79"/>
      <c r="S99" s="79"/>
      <c r="T99" s="79"/>
      <c r="U99" s="6"/>
      <c r="V99" s="76"/>
    </row>
    <row r="100" spans="1:22" ht="12.75">
      <c r="A100" s="79"/>
      <c r="B100" s="79"/>
      <c r="C100" s="79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9"/>
      <c r="O100" s="79"/>
      <c r="P100" s="79"/>
      <c r="Q100" s="79"/>
      <c r="R100" s="79"/>
      <c r="S100" s="79"/>
      <c r="T100" s="79"/>
      <c r="U100" s="6"/>
      <c r="V100" s="76"/>
    </row>
    <row r="101" spans="1:22" ht="12.75">
      <c r="A101" s="79"/>
      <c r="B101" s="79"/>
      <c r="C101" s="79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9"/>
      <c r="O101" s="79"/>
      <c r="P101" s="79"/>
      <c r="Q101" s="79"/>
      <c r="R101" s="79"/>
      <c r="S101" s="79"/>
      <c r="T101" s="79"/>
      <c r="U101" s="6"/>
      <c r="V101" s="76"/>
    </row>
    <row r="102" spans="1:22" ht="12.75">
      <c r="A102" s="79"/>
      <c r="B102" s="79"/>
      <c r="C102" s="79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9"/>
      <c r="O102" s="79"/>
      <c r="P102" s="79"/>
      <c r="Q102" s="79"/>
      <c r="R102" s="79"/>
      <c r="S102" s="79"/>
      <c r="T102" s="79"/>
      <c r="U102" s="6"/>
      <c r="V102" s="76"/>
    </row>
    <row r="103" spans="1:22" ht="12.75">
      <c r="A103" s="79"/>
      <c r="B103" s="79"/>
      <c r="C103" s="79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9"/>
      <c r="O103" s="79"/>
      <c r="P103" s="79"/>
      <c r="Q103" s="79"/>
      <c r="R103" s="79"/>
      <c r="S103" s="79"/>
      <c r="T103" s="79"/>
      <c r="U103" s="6"/>
      <c r="V103" s="76"/>
    </row>
    <row r="104" spans="1:22" ht="12.75">
      <c r="A104" s="79"/>
      <c r="B104" s="79"/>
      <c r="C104" s="79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9"/>
      <c r="O104" s="79"/>
      <c r="P104" s="79"/>
      <c r="Q104" s="79"/>
      <c r="R104" s="79"/>
      <c r="S104" s="79"/>
      <c r="T104" s="79"/>
      <c r="U104" s="6"/>
      <c r="V104" s="76"/>
    </row>
    <row r="105" spans="1:22" ht="12.75">
      <c r="A105" s="79"/>
      <c r="B105" s="79"/>
      <c r="C105" s="79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9"/>
      <c r="O105" s="79"/>
      <c r="P105" s="79"/>
      <c r="Q105" s="79"/>
      <c r="R105" s="79"/>
      <c r="S105" s="79"/>
      <c r="T105" s="79"/>
      <c r="U105" s="6"/>
      <c r="V105" s="76"/>
    </row>
    <row r="106" spans="1:22" ht="12.75">
      <c r="A106" s="79"/>
      <c r="B106" s="79"/>
      <c r="C106" s="79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9"/>
      <c r="O106" s="79"/>
      <c r="P106" s="79"/>
      <c r="Q106" s="79"/>
      <c r="R106" s="79"/>
      <c r="S106" s="79"/>
      <c r="T106" s="79"/>
      <c r="U106" s="6"/>
      <c r="V106" s="76"/>
    </row>
    <row r="107" spans="1:22" ht="12.75">
      <c r="A107" s="79"/>
      <c r="B107" s="79"/>
      <c r="C107" s="79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9"/>
      <c r="O107" s="79"/>
      <c r="P107" s="79"/>
      <c r="Q107" s="79"/>
      <c r="R107" s="79"/>
      <c r="S107" s="79"/>
      <c r="T107" s="79"/>
      <c r="U107" s="6"/>
      <c r="V107" s="76"/>
    </row>
    <row r="108" spans="1:22" ht="12.75">
      <c r="A108" s="79"/>
      <c r="B108" s="79"/>
      <c r="C108" s="79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9"/>
      <c r="O108" s="79"/>
      <c r="P108" s="79"/>
      <c r="Q108" s="79"/>
      <c r="R108" s="79"/>
      <c r="S108" s="79"/>
      <c r="T108" s="79"/>
      <c r="U108" s="6"/>
      <c r="V108" s="76"/>
    </row>
    <row r="109" spans="1:22" ht="12.75">
      <c r="A109" s="79"/>
      <c r="B109" s="79"/>
      <c r="C109" s="79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9"/>
      <c r="O109" s="79"/>
      <c r="P109" s="79"/>
      <c r="Q109" s="79"/>
      <c r="R109" s="79"/>
      <c r="S109" s="79"/>
      <c r="T109" s="79"/>
      <c r="U109" s="6"/>
      <c r="V109" s="76"/>
    </row>
    <row r="110" spans="1:22" ht="12.75">
      <c r="A110" s="79"/>
      <c r="B110" s="79"/>
      <c r="C110" s="79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9"/>
      <c r="O110" s="79"/>
      <c r="P110" s="79"/>
      <c r="Q110" s="79"/>
      <c r="R110" s="79"/>
      <c r="S110" s="79"/>
      <c r="T110" s="79"/>
      <c r="U110" s="6"/>
      <c r="V110" s="76"/>
    </row>
    <row r="111" spans="1:22" ht="12.75">
      <c r="A111" s="79"/>
      <c r="B111" s="79"/>
      <c r="C111" s="79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9"/>
      <c r="O111" s="79"/>
      <c r="P111" s="79"/>
      <c r="Q111" s="79"/>
      <c r="R111" s="79"/>
      <c r="S111" s="79"/>
      <c r="T111" s="79"/>
      <c r="U111" s="6"/>
      <c r="V111" s="76"/>
    </row>
    <row r="112" spans="1:22" ht="12.75">
      <c r="A112" s="79"/>
      <c r="B112" s="79"/>
      <c r="C112" s="79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9"/>
      <c r="O112" s="79"/>
      <c r="P112" s="79"/>
      <c r="Q112" s="79"/>
      <c r="R112" s="79"/>
      <c r="S112" s="79"/>
      <c r="T112" s="79"/>
      <c r="U112" s="6"/>
      <c r="V112" s="76"/>
    </row>
    <row r="113" spans="1:22" ht="12.75">
      <c r="A113" s="79"/>
      <c r="B113" s="79"/>
      <c r="C113" s="79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9"/>
      <c r="O113" s="79"/>
      <c r="P113" s="79"/>
      <c r="Q113" s="79"/>
      <c r="R113" s="79"/>
      <c r="S113" s="79"/>
      <c r="T113" s="79"/>
      <c r="U113" s="6"/>
      <c r="V113" s="76"/>
    </row>
    <row r="114" spans="1:22" ht="12.75">
      <c r="A114" s="79"/>
      <c r="B114" s="79"/>
      <c r="C114" s="79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9"/>
      <c r="O114" s="79"/>
      <c r="P114" s="79"/>
      <c r="Q114" s="79"/>
      <c r="R114" s="79"/>
      <c r="S114" s="79"/>
      <c r="T114" s="79"/>
      <c r="U114" s="6"/>
      <c r="V114" s="76"/>
    </row>
    <row r="115" spans="1:22" ht="12.75">
      <c r="A115" s="79"/>
      <c r="B115" s="79"/>
      <c r="C115" s="79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9"/>
      <c r="O115" s="79"/>
      <c r="P115" s="79"/>
      <c r="Q115" s="79"/>
      <c r="R115" s="79"/>
      <c r="S115" s="79"/>
      <c r="T115" s="79"/>
      <c r="U115" s="6"/>
      <c r="V115" s="76"/>
    </row>
    <row r="116" spans="1:22" ht="12.75">
      <c r="A116" s="79"/>
      <c r="B116" s="79"/>
      <c r="C116" s="79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9"/>
      <c r="O116" s="79"/>
      <c r="P116" s="79"/>
      <c r="Q116" s="79"/>
      <c r="R116" s="79"/>
      <c r="S116" s="79"/>
      <c r="T116" s="79"/>
      <c r="U116" s="6"/>
      <c r="V116" s="76"/>
    </row>
    <row r="117" spans="1:22" ht="12.75">
      <c r="A117" s="79"/>
      <c r="B117" s="79"/>
      <c r="C117" s="79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9"/>
      <c r="O117" s="79"/>
      <c r="P117" s="79"/>
      <c r="Q117" s="79"/>
      <c r="R117" s="79"/>
      <c r="S117" s="79"/>
      <c r="T117" s="79"/>
      <c r="U117" s="6"/>
      <c r="V117" s="76"/>
    </row>
    <row r="118" spans="1:22" ht="12.75">
      <c r="A118" s="79"/>
      <c r="B118" s="79"/>
      <c r="C118" s="79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9"/>
      <c r="O118" s="79"/>
      <c r="P118" s="79"/>
      <c r="Q118" s="79"/>
      <c r="R118" s="79"/>
      <c r="S118" s="79"/>
      <c r="T118" s="79"/>
      <c r="U118" s="6"/>
      <c r="V118" s="76"/>
    </row>
    <row r="119" spans="1:22" ht="12.75">
      <c r="A119" s="79"/>
      <c r="B119" s="79"/>
      <c r="C119" s="79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9"/>
      <c r="O119" s="79"/>
      <c r="P119" s="79"/>
      <c r="Q119" s="79"/>
      <c r="R119" s="79"/>
      <c r="S119" s="79"/>
      <c r="T119" s="79"/>
      <c r="U119" s="6"/>
      <c r="V119" s="76"/>
    </row>
    <row r="120" spans="1:22" ht="12.75">
      <c r="A120" s="79"/>
      <c r="B120" s="79"/>
      <c r="C120" s="79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9"/>
      <c r="O120" s="79"/>
      <c r="P120" s="79"/>
      <c r="Q120" s="79"/>
      <c r="R120" s="79"/>
      <c r="S120" s="79"/>
      <c r="T120" s="79"/>
      <c r="U120" s="6"/>
      <c r="V120" s="76"/>
    </row>
    <row r="121" spans="1:22" ht="12.75">
      <c r="A121" s="79"/>
      <c r="B121" s="79"/>
      <c r="C121" s="79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9"/>
      <c r="O121" s="79"/>
      <c r="P121" s="79"/>
      <c r="Q121" s="79"/>
      <c r="R121" s="79"/>
      <c r="S121" s="79"/>
      <c r="T121" s="79"/>
      <c r="U121" s="6"/>
      <c r="V121" s="76"/>
    </row>
    <row r="122" spans="1:22" ht="12.75">
      <c r="A122" s="79"/>
      <c r="B122" s="79"/>
      <c r="C122" s="79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9"/>
      <c r="O122" s="79"/>
      <c r="P122" s="79"/>
      <c r="Q122" s="79"/>
      <c r="R122" s="79"/>
      <c r="S122" s="79"/>
      <c r="T122" s="79"/>
      <c r="U122" s="6"/>
      <c r="V122" s="76"/>
    </row>
    <row r="123" spans="1:22" ht="12.75">
      <c r="A123" s="79"/>
      <c r="B123" s="79"/>
      <c r="C123" s="79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9"/>
      <c r="O123" s="79"/>
      <c r="P123" s="79"/>
      <c r="Q123" s="79"/>
      <c r="R123" s="79"/>
      <c r="S123" s="79"/>
      <c r="T123" s="79"/>
      <c r="U123" s="6"/>
      <c r="V123" s="76"/>
    </row>
    <row r="124" spans="1:22" ht="12.75">
      <c r="A124" s="79"/>
      <c r="B124" s="79"/>
      <c r="C124" s="79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9"/>
      <c r="O124" s="79"/>
      <c r="P124" s="79"/>
      <c r="Q124" s="79"/>
      <c r="R124" s="79"/>
      <c r="S124" s="79"/>
      <c r="T124" s="79"/>
      <c r="U124" s="6"/>
      <c r="V124" s="76"/>
    </row>
    <row r="125" spans="1:22" ht="12.75">
      <c r="A125" s="79"/>
      <c r="B125" s="79"/>
      <c r="C125" s="79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9"/>
      <c r="O125" s="79"/>
      <c r="P125" s="79"/>
      <c r="Q125" s="79"/>
      <c r="R125" s="79"/>
      <c r="S125" s="79"/>
      <c r="T125" s="79"/>
      <c r="U125" s="6"/>
      <c r="V125" s="76"/>
    </row>
    <row r="126" spans="1:22" ht="12.75">
      <c r="A126" s="79"/>
      <c r="B126" s="79"/>
      <c r="C126" s="79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9"/>
      <c r="O126" s="79"/>
      <c r="P126" s="79"/>
      <c r="Q126" s="79"/>
      <c r="R126" s="79"/>
      <c r="S126" s="79"/>
      <c r="T126" s="79"/>
      <c r="U126" s="6"/>
      <c r="V126" s="76"/>
    </row>
    <row r="127" spans="1:22" ht="12.75">
      <c r="A127" s="79"/>
      <c r="B127" s="79"/>
      <c r="C127" s="79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9"/>
      <c r="O127" s="79"/>
      <c r="P127" s="79"/>
      <c r="Q127" s="79"/>
      <c r="R127" s="79"/>
      <c r="S127" s="79"/>
      <c r="T127" s="79"/>
      <c r="U127" s="6"/>
      <c r="V127" s="76"/>
    </row>
    <row r="128" spans="1:22" ht="12.75">
      <c r="A128" s="79"/>
      <c r="B128" s="79"/>
      <c r="C128" s="79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9"/>
      <c r="O128" s="79"/>
      <c r="P128" s="79"/>
      <c r="Q128" s="79"/>
      <c r="R128" s="79"/>
      <c r="S128" s="79"/>
      <c r="T128" s="79"/>
      <c r="U128" s="6"/>
      <c r="V128" s="76"/>
    </row>
    <row r="129" spans="1:22" ht="12.75">
      <c r="A129" s="79"/>
      <c r="B129" s="79"/>
      <c r="C129" s="79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9"/>
      <c r="O129" s="79"/>
      <c r="P129" s="79"/>
      <c r="Q129" s="79"/>
      <c r="R129" s="79"/>
      <c r="S129" s="79"/>
      <c r="T129" s="79"/>
      <c r="U129" s="6"/>
      <c r="V129" s="76"/>
    </row>
    <row r="130" spans="1:22" ht="12.75">
      <c r="A130" s="79"/>
      <c r="B130" s="79"/>
      <c r="C130" s="79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9"/>
      <c r="O130" s="79"/>
      <c r="P130" s="79"/>
      <c r="Q130" s="79"/>
      <c r="R130" s="79"/>
      <c r="S130" s="79"/>
      <c r="T130" s="79"/>
      <c r="U130" s="6"/>
      <c r="V130" s="76"/>
    </row>
    <row r="131" spans="1:22" ht="12.75">
      <c r="A131" s="79"/>
      <c r="B131" s="79"/>
      <c r="C131" s="79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9"/>
      <c r="O131" s="79"/>
      <c r="P131" s="79"/>
      <c r="Q131" s="79"/>
      <c r="R131" s="79"/>
      <c r="S131" s="79"/>
      <c r="T131" s="79"/>
      <c r="U131" s="6"/>
      <c r="V131" s="76"/>
    </row>
    <row r="132" spans="1:22" ht="12.75">
      <c r="A132" s="79"/>
      <c r="B132" s="79"/>
      <c r="C132" s="79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9"/>
      <c r="O132" s="79"/>
      <c r="P132" s="79"/>
      <c r="Q132" s="79"/>
      <c r="R132" s="79"/>
      <c r="S132" s="79"/>
      <c r="T132" s="79"/>
      <c r="U132" s="6"/>
      <c r="V132" s="76"/>
    </row>
    <row r="133" spans="1:22" ht="12.75">
      <c r="A133" s="79"/>
      <c r="B133" s="79"/>
      <c r="C133" s="79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9"/>
      <c r="O133" s="79"/>
      <c r="P133" s="79"/>
      <c r="Q133" s="79"/>
      <c r="R133" s="79"/>
      <c r="S133" s="79"/>
      <c r="T133" s="79"/>
      <c r="U133" s="6"/>
      <c r="V133" s="76"/>
    </row>
    <row r="134" spans="1:22" ht="12.75">
      <c r="A134" s="79"/>
      <c r="B134" s="79"/>
      <c r="C134" s="79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9"/>
      <c r="O134" s="79"/>
      <c r="P134" s="79"/>
      <c r="Q134" s="79"/>
      <c r="R134" s="79"/>
      <c r="S134" s="79"/>
      <c r="T134" s="79"/>
      <c r="U134" s="6"/>
      <c r="V134" s="76"/>
    </row>
    <row r="135" spans="1:22" ht="12.75">
      <c r="A135" s="79"/>
      <c r="B135" s="79"/>
      <c r="C135" s="79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9"/>
      <c r="O135" s="79"/>
      <c r="P135" s="79"/>
      <c r="Q135" s="79"/>
      <c r="R135" s="79"/>
      <c r="S135" s="79"/>
      <c r="T135" s="79"/>
      <c r="U135" s="6"/>
      <c r="V135" s="76"/>
    </row>
    <row r="136" spans="1:22" ht="12.75">
      <c r="A136" s="79"/>
      <c r="B136" s="79"/>
      <c r="C136" s="79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9"/>
      <c r="O136" s="79"/>
      <c r="P136" s="79"/>
      <c r="Q136" s="79"/>
      <c r="R136" s="79"/>
      <c r="S136" s="79"/>
      <c r="T136" s="79"/>
      <c r="U136" s="6"/>
      <c r="V136" s="76"/>
    </row>
    <row r="137" spans="1:22" ht="12.75">
      <c r="A137" s="79"/>
      <c r="B137" s="79"/>
      <c r="C137" s="79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9"/>
      <c r="O137" s="79"/>
      <c r="P137" s="79"/>
      <c r="Q137" s="79"/>
      <c r="R137" s="79"/>
      <c r="S137" s="79"/>
      <c r="T137" s="79"/>
      <c r="U137" s="6"/>
      <c r="V137" s="76"/>
    </row>
    <row r="138" spans="1:22" ht="12.75">
      <c r="A138" s="79"/>
      <c r="B138" s="79"/>
      <c r="C138" s="79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9"/>
      <c r="O138" s="79"/>
      <c r="P138" s="79"/>
      <c r="Q138" s="79"/>
      <c r="R138" s="79"/>
      <c r="S138" s="79"/>
      <c r="T138" s="79"/>
      <c r="U138" s="6"/>
      <c r="V138" s="76"/>
    </row>
    <row r="139" spans="1:22" ht="12.75">
      <c r="A139" s="79"/>
      <c r="B139" s="79"/>
      <c r="C139" s="79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9"/>
      <c r="O139" s="79"/>
      <c r="P139" s="79"/>
      <c r="Q139" s="79"/>
      <c r="R139" s="79"/>
      <c r="S139" s="79"/>
      <c r="T139" s="79"/>
      <c r="U139" s="6"/>
      <c r="V139" s="76"/>
    </row>
    <row r="140" spans="1:22" ht="12.75">
      <c r="A140" s="79"/>
      <c r="B140" s="79"/>
      <c r="C140" s="79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9"/>
      <c r="O140" s="79"/>
      <c r="P140" s="79"/>
      <c r="Q140" s="79"/>
      <c r="R140" s="79"/>
      <c r="S140" s="79"/>
      <c r="T140" s="79"/>
      <c r="U140" s="6"/>
      <c r="V140" s="76"/>
    </row>
    <row r="141" spans="1:22" ht="12.75">
      <c r="A141" s="79"/>
      <c r="B141" s="79"/>
      <c r="C141" s="79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9"/>
      <c r="O141" s="79"/>
      <c r="P141" s="79"/>
      <c r="Q141" s="79"/>
      <c r="R141" s="79"/>
      <c r="S141" s="79"/>
      <c r="T141" s="79"/>
      <c r="U141" s="6"/>
      <c r="V141" s="76"/>
    </row>
    <row r="142" spans="1:22" ht="12.75">
      <c r="A142" s="79"/>
      <c r="B142" s="79"/>
      <c r="C142" s="79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9"/>
      <c r="O142" s="79"/>
      <c r="P142" s="79"/>
      <c r="Q142" s="79"/>
      <c r="R142" s="79"/>
      <c r="S142" s="79"/>
      <c r="T142" s="79"/>
      <c r="U142" s="6"/>
      <c r="V142" s="76"/>
    </row>
    <row r="143" spans="1:22" ht="12.75">
      <c r="A143" s="79"/>
      <c r="B143" s="79"/>
      <c r="C143" s="79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9"/>
      <c r="O143" s="79"/>
      <c r="P143" s="79"/>
      <c r="Q143" s="79"/>
      <c r="R143" s="79"/>
      <c r="S143" s="79"/>
      <c r="T143" s="79"/>
      <c r="U143" s="6"/>
      <c r="V143" s="76"/>
    </row>
    <row r="144" spans="1:22" ht="12.75">
      <c r="A144" s="79"/>
      <c r="B144" s="79"/>
      <c r="C144" s="79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9"/>
      <c r="O144" s="79"/>
      <c r="P144" s="79"/>
      <c r="Q144" s="79"/>
      <c r="R144" s="79"/>
      <c r="S144" s="79"/>
      <c r="T144" s="79"/>
      <c r="U144" s="6"/>
      <c r="V144" s="76"/>
    </row>
    <row r="145" spans="1:22" ht="12.75">
      <c r="A145" s="79"/>
      <c r="B145" s="79"/>
      <c r="C145" s="79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9"/>
      <c r="O145" s="79"/>
      <c r="P145" s="79"/>
      <c r="Q145" s="79"/>
      <c r="R145" s="79"/>
      <c r="S145" s="79"/>
      <c r="T145" s="79"/>
      <c r="U145" s="6"/>
      <c r="V145" s="76"/>
    </row>
    <row r="146" spans="1:22" ht="12.75">
      <c r="A146" s="79"/>
      <c r="B146" s="79"/>
      <c r="C146" s="79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9"/>
      <c r="O146" s="79"/>
      <c r="P146" s="79"/>
      <c r="Q146" s="79"/>
      <c r="R146" s="79"/>
      <c r="S146" s="79"/>
      <c r="T146" s="79"/>
      <c r="U146" s="6"/>
      <c r="V146" s="76"/>
    </row>
    <row r="147" spans="1:22" ht="12.75">
      <c r="A147" s="79"/>
      <c r="B147" s="79"/>
      <c r="C147" s="79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9"/>
      <c r="O147" s="79"/>
      <c r="P147" s="79"/>
      <c r="Q147" s="79"/>
      <c r="R147" s="79"/>
      <c r="S147" s="79"/>
      <c r="T147" s="79"/>
      <c r="U147" s="6"/>
      <c r="V147" s="76"/>
    </row>
    <row r="148" spans="1:22" ht="12.75">
      <c r="A148" s="79"/>
      <c r="B148" s="79"/>
      <c r="C148" s="79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9"/>
      <c r="O148" s="79"/>
      <c r="P148" s="79"/>
      <c r="Q148" s="79"/>
      <c r="R148" s="79"/>
      <c r="S148" s="79"/>
      <c r="T148" s="79"/>
      <c r="U148" s="6"/>
      <c r="V148" s="76"/>
    </row>
    <row r="149" spans="1:22" ht="12.75">
      <c r="A149" s="79"/>
      <c r="B149" s="79"/>
      <c r="C149" s="79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9"/>
      <c r="O149" s="79"/>
      <c r="P149" s="79"/>
      <c r="Q149" s="79"/>
      <c r="R149" s="79"/>
      <c r="S149" s="79"/>
      <c r="T149" s="79"/>
      <c r="U149" s="6"/>
      <c r="V149" s="76"/>
    </row>
    <row r="150" spans="1:22" ht="12.75">
      <c r="A150" s="79"/>
      <c r="B150" s="79"/>
      <c r="C150" s="79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9"/>
      <c r="O150" s="79"/>
      <c r="P150" s="79"/>
      <c r="Q150" s="79"/>
      <c r="R150" s="79"/>
      <c r="S150" s="79"/>
      <c r="T150" s="79"/>
      <c r="U150" s="6"/>
      <c r="V150" s="76"/>
    </row>
    <row r="151" spans="1:22" ht="12.75">
      <c r="A151" s="79"/>
      <c r="B151" s="79"/>
      <c r="C151" s="79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9"/>
      <c r="O151" s="79"/>
      <c r="P151" s="79"/>
      <c r="Q151" s="79"/>
      <c r="R151" s="79"/>
      <c r="S151" s="79"/>
      <c r="T151" s="79"/>
      <c r="U151" s="6"/>
      <c r="V151" s="76"/>
    </row>
    <row r="152" spans="1:22" ht="12.75">
      <c r="A152" s="79"/>
      <c r="B152" s="79"/>
      <c r="C152" s="7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9"/>
      <c r="O152" s="79"/>
      <c r="P152" s="79"/>
      <c r="Q152" s="79"/>
      <c r="R152" s="79"/>
      <c r="S152" s="79"/>
      <c r="T152" s="79"/>
      <c r="U152" s="6"/>
      <c r="V152" s="76"/>
    </row>
    <row r="153" spans="1:22" ht="12.75">
      <c r="A153" s="79"/>
      <c r="B153" s="79"/>
      <c r="C153" s="79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9"/>
      <c r="O153" s="79"/>
      <c r="P153" s="79"/>
      <c r="Q153" s="79"/>
      <c r="R153" s="79"/>
      <c r="S153" s="79"/>
      <c r="T153" s="79"/>
      <c r="U153" s="6"/>
      <c r="V153" s="76"/>
    </row>
    <row r="154" spans="1:22" ht="12.75">
      <c r="A154" s="79"/>
      <c r="B154" s="79"/>
      <c r="C154" s="79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9"/>
      <c r="O154" s="79"/>
      <c r="P154" s="79"/>
      <c r="Q154" s="79"/>
      <c r="R154" s="79"/>
      <c r="S154" s="79"/>
      <c r="T154" s="79"/>
      <c r="U154" s="6"/>
      <c r="V154" s="76"/>
    </row>
    <row r="155" spans="1:22" ht="12.75">
      <c r="A155" s="79"/>
      <c r="B155" s="79"/>
      <c r="C155" s="79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9"/>
      <c r="O155" s="79"/>
      <c r="P155" s="79"/>
      <c r="Q155" s="79"/>
      <c r="R155" s="79"/>
      <c r="S155" s="79"/>
      <c r="T155" s="79"/>
      <c r="U155" s="6"/>
      <c r="V155" s="76"/>
    </row>
    <row r="156" spans="1:22" ht="12.75">
      <c r="A156" s="79"/>
      <c r="B156" s="79"/>
      <c r="C156" s="79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9"/>
      <c r="O156" s="79"/>
      <c r="P156" s="79"/>
      <c r="Q156" s="79"/>
      <c r="R156" s="79"/>
      <c r="S156" s="79"/>
      <c r="T156" s="79"/>
      <c r="U156" s="6"/>
      <c r="V156" s="76"/>
    </row>
    <row r="157" spans="1:22" ht="12.75">
      <c r="A157" s="79"/>
      <c r="B157" s="79"/>
      <c r="C157" s="79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9"/>
      <c r="O157" s="79"/>
      <c r="P157" s="79"/>
      <c r="Q157" s="79"/>
      <c r="R157" s="79"/>
      <c r="S157" s="79"/>
      <c r="T157" s="79"/>
      <c r="U157" s="6"/>
      <c r="V157" s="76"/>
    </row>
    <row r="158" spans="1:22" ht="12.75">
      <c r="A158" s="79"/>
      <c r="B158" s="79"/>
      <c r="C158" s="79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9"/>
      <c r="O158" s="79"/>
      <c r="P158" s="79"/>
      <c r="Q158" s="79"/>
      <c r="R158" s="79"/>
      <c r="S158" s="79"/>
      <c r="T158" s="79"/>
      <c r="U158" s="6"/>
      <c r="V158" s="76"/>
    </row>
    <row r="159" spans="1:22" ht="12.75">
      <c r="A159" s="79"/>
      <c r="B159" s="79"/>
      <c r="C159" s="79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9"/>
      <c r="O159" s="79"/>
      <c r="P159" s="79"/>
      <c r="Q159" s="79"/>
      <c r="R159" s="79"/>
      <c r="S159" s="79"/>
      <c r="T159" s="79"/>
      <c r="U159" s="6"/>
      <c r="V159" s="76"/>
    </row>
    <row r="160" spans="1:22" ht="12.75">
      <c r="A160" s="79"/>
      <c r="B160" s="79"/>
      <c r="C160" s="79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9"/>
      <c r="O160" s="79"/>
      <c r="P160" s="79"/>
      <c r="Q160" s="79"/>
      <c r="R160" s="79"/>
      <c r="S160" s="79"/>
      <c r="T160" s="79"/>
      <c r="U160" s="6"/>
      <c r="V160" s="76"/>
    </row>
    <row r="161" spans="1:22" ht="12.75">
      <c r="A161" s="79"/>
      <c r="B161" s="79"/>
      <c r="C161" s="79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9"/>
      <c r="O161" s="79"/>
      <c r="P161" s="79"/>
      <c r="Q161" s="79"/>
      <c r="R161" s="79"/>
      <c r="S161" s="79"/>
      <c r="T161" s="79"/>
      <c r="U161" s="6"/>
      <c r="V161" s="76"/>
    </row>
    <row r="162" spans="1:22" ht="12.75">
      <c r="A162" s="79"/>
      <c r="B162" s="79"/>
      <c r="C162" s="79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9"/>
      <c r="O162" s="79"/>
      <c r="P162" s="79"/>
      <c r="Q162" s="79"/>
      <c r="R162" s="79"/>
      <c r="S162" s="79"/>
      <c r="T162" s="79"/>
      <c r="U162" s="6"/>
      <c r="V162" s="76"/>
    </row>
    <row r="163" spans="1:22" ht="12.75">
      <c r="A163" s="79"/>
      <c r="B163" s="79"/>
      <c r="C163" s="79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9"/>
      <c r="O163" s="79"/>
      <c r="P163" s="79"/>
      <c r="Q163" s="79"/>
      <c r="R163" s="79"/>
      <c r="S163" s="79"/>
      <c r="T163" s="79"/>
      <c r="U163" s="6"/>
      <c r="V163" s="76"/>
    </row>
    <row r="164" spans="1:22" ht="12.75">
      <c r="A164" s="79"/>
      <c r="B164" s="79"/>
      <c r="C164" s="79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9"/>
      <c r="O164" s="79"/>
      <c r="P164" s="79"/>
      <c r="Q164" s="79"/>
      <c r="R164" s="79"/>
      <c r="S164" s="79"/>
      <c r="T164" s="79"/>
      <c r="U164" s="6"/>
      <c r="V164" s="76"/>
    </row>
    <row r="165" spans="1:22" ht="12.75">
      <c r="A165" s="79"/>
      <c r="B165" s="79"/>
      <c r="C165" s="79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9"/>
      <c r="O165" s="79"/>
      <c r="P165" s="79"/>
      <c r="Q165" s="79"/>
      <c r="R165" s="79"/>
      <c r="S165" s="79"/>
      <c r="T165" s="79"/>
      <c r="U165" s="6"/>
      <c r="V165" s="76"/>
    </row>
    <row r="166" spans="1:22" ht="12.75">
      <c r="A166" s="79"/>
      <c r="B166" s="79"/>
      <c r="C166" s="79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9"/>
      <c r="O166" s="79"/>
      <c r="P166" s="79"/>
      <c r="Q166" s="79"/>
      <c r="R166" s="79"/>
      <c r="S166" s="79"/>
      <c r="T166" s="79"/>
      <c r="U166" s="6"/>
      <c r="V166" s="76"/>
    </row>
    <row r="167" spans="1:22" ht="12.75">
      <c r="A167" s="79"/>
      <c r="B167" s="79"/>
      <c r="C167" s="79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9"/>
      <c r="O167" s="79"/>
      <c r="P167" s="79"/>
      <c r="Q167" s="79"/>
      <c r="R167" s="79"/>
      <c r="S167" s="79"/>
      <c r="T167" s="79"/>
      <c r="U167" s="6"/>
      <c r="V167" s="76"/>
    </row>
    <row r="168" spans="1:22" ht="12.75">
      <c r="A168" s="79"/>
      <c r="B168" s="79"/>
      <c r="C168" s="79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9"/>
      <c r="O168" s="79"/>
      <c r="P168" s="79"/>
      <c r="Q168" s="79"/>
      <c r="R168" s="79"/>
      <c r="S168" s="79"/>
      <c r="T168" s="79"/>
      <c r="U168" s="6"/>
      <c r="V168" s="76"/>
    </row>
    <row r="169" spans="1:22" ht="12.75">
      <c r="A169" s="79"/>
      <c r="B169" s="79"/>
      <c r="C169" s="79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9"/>
      <c r="O169" s="79"/>
      <c r="P169" s="79"/>
      <c r="Q169" s="79"/>
      <c r="R169" s="79"/>
      <c r="S169" s="79"/>
      <c r="T169" s="79"/>
      <c r="U169" s="6"/>
      <c r="V169" s="76"/>
    </row>
    <row r="170" spans="1:22" ht="12.75">
      <c r="A170" s="79"/>
      <c r="B170" s="79"/>
      <c r="C170" s="79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9"/>
      <c r="O170" s="79"/>
      <c r="P170" s="79"/>
      <c r="Q170" s="79"/>
      <c r="R170" s="79"/>
      <c r="S170" s="79"/>
      <c r="T170" s="79"/>
      <c r="U170" s="6"/>
      <c r="V170" s="76"/>
    </row>
    <row r="171" spans="1:22" ht="12.75">
      <c r="A171" s="79"/>
      <c r="B171" s="79"/>
      <c r="C171" s="79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9"/>
      <c r="O171" s="79"/>
      <c r="P171" s="79"/>
      <c r="Q171" s="79"/>
      <c r="R171" s="79"/>
      <c r="S171" s="79"/>
      <c r="T171" s="79"/>
      <c r="U171" s="6"/>
      <c r="V171" s="76"/>
    </row>
    <row r="172" spans="1:22" ht="12.75">
      <c r="A172" s="79"/>
      <c r="B172" s="79"/>
      <c r="C172" s="79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9"/>
      <c r="O172" s="79"/>
      <c r="P172" s="79"/>
      <c r="Q172" s="79"/>
      <c r="R172" s="79"/>
      <c r="S172" s="79"/>
      <c r="T172" s="79"/>
      <c r="U172" s="6"/>
      <c r="V172" s="76"/>
    </row>
    <row r="173" spans="1:22" ht="12.75">
      <c r="A173" s="79"/>
      <c r="B173" s="79"/>
      <c r="C173" s="79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9"/>
      <c r="O173" s="79"/>
      <c r="P173" s="79"/>
      <c r="Q173" s="79"/>
      <c r="R173" s="79"/>
      <c r="S173" s="79"/>
      <c r="T173" s="79"/>
      <c r="U173" s="6"/>
      <c r="V173" s="76"/>
    </row>
    <row r="174" spans="1:22" ht="12.75">
      <c r="A174" s="79"/>
      <c r="B174" s="79"/>
      <c r="C174" s="79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9"/>
      <c r="O174" s="79"/>
      <c r="P174" s="79"/>
      <c r="Q174" s="79"/>
      <c r="R174" s="79"/>
      <c r="S174" s="79"/>
      <c r="T174" s="79"/>
      <c r="U174" s="6"/>
      <c r="V174" s="76"/>
    </row>
    <row r="175" spans="1:22" ht="12.75">
      <c r="A175" s="79"/>
      <c r="B175" s="79"/>
      <c r="C175" s="79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9"/>
      <c r="O175" s="79"/>
      <c r="P175" s="79"/>
      <c r="Q175" s="79"/>
      <c r="R175" s="79"/>
      <c r="S175" s="79"/>
      <c r="T175" s="79"/>
      <c r="U175" s="6"/>
      <c r="V175" s="76"/>
    </row>
    <row r="176" spans="1:22" ht="12.75">
      <c r="A176" s="79"/>
      <c r="B176" s="79"/>
      <c r="C176" s="79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9"/>
      <c r="O176" s="79"/>
      <c r="P176" s="79"/>
      <c r="Q176" s="79"/>
      <c r="R176" s="79"/>
      <c r="S176" s="79"/>
      <c r="T176" s="79"/>
      <c r="U176" s="6"/>
      <c r="V176" s="76"/>
    </row>
    <row r="177" spans="1:22" ht="12.75">
      <c r="A177" s="79"/>
      <c r="B177" s="79"/>
      <c r="C177" s="79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9"/>
      <c r="O177" s="79"/>
      <c r="P177" s="79"/>
      <c r="Q177" s="79"/>
      <c r="R177" s="79"/>
      <c r="S177" s="79"/>
      <c r="T177" s="79"/>
      <c r="U177" s="6"/>
      <c r="V177" s="76"/>
    </row>
    <row r="178" spans="1:22" ht="12.75">
      <c r="A178" s="79"/>
      <c r="B178" s="79"/>
      <c r="C178" s="79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9"/>
      <c r="O178" s="79"/>
      <c r="P178" s="79"/>
      <c r="Q178" s="79"/>
      <c r="R178" s="79"/>
      <c r="S178" s="79"/>
      <c r="T178" s="79"/>
      <c r="U178" s="6"/>
      <c r="V178" s="76"/>
    </row>
    <row r="179" spans="1:22" ht="12.75">
      <c r="A179" s="79"/>
      <c r="B179" s="79"/>
      <c r="C179" s="79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9"/>
      <c r="O179" s="79"/>
      <c r="P179" s="79"/>
      <c r="Q179" s="79"/>
      <c r="R179" s="79"/>
      <c r="S179" s="79"/>
      <c r="T179" s="79"/>
      <c r="U179" s="6"/>
      <c r="V179" s="76"/>
    </row>
    <row r="180" spans="1:22" ht="12.75">
      <c r="A180" s="79"/>
      <c r="B180" s="79"/>
      <c r="C180" s="79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9"/>
      <c r="O180" s="79"/>
      <c r="P180" s="79"/>
      <c r="Q180" s="79"/>
      <c r="R180" s="79"/>
      <c r="S180" s="79"/>
      <c r="T180" s="79"/>
      <c r="U180" s="6"/>
      <c r="V180" s="76"/>
    </row>
    <row r="181" spans="1:22" ht="12.75">
      <c r="A181" s="79"/>
      <c r="B181" s="79"/>
      <c r="C181" s="79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9"/>
      <c r="O181" s="79"/>
      <c r="P181" s="79"/>
      <c r="Q181" s="79"/>
      <c r="R181" s="79"/>
      <c r="S181" s="79"/>
      <c r="T181" s="79"/>
      <c r="U181" s="6"/>
      <c r="V181" s="76"/>
    </row>
    <row r="182" spans="1:22" ht="12.75">
      <c r="A182" s="79"/>
      <c r="B182" s="79"/>
      <c r="C182" s="79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9"/>
      <c r="O182" s="79"/>
      <c r="P182" s="79"/>
      <c r="Q182" s="79"/>
      <c r="R182" s="79"/>
      <c r="S182" s="79"/>
      <c r="T182" s="79"/>
      <c r="U182" s="6"/>
      <c r="V182" s="76"/>
    </row>
    <row r="183" spans="1:22" ht="12.75">
      <c r="A183" s="79"/>
      <c r="B183" s="79"/>
      <c r="C183" s="79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9"/>
      <c r="O183" s="79"/>
      <c r="P183" s="79"/>
      <c r="Q183" s="79"/>
      <c r="R183" s="79"/>
      <c r="S183" s="79"/>
      <c r="T183" s="79"/>
      <c r="U183" s="6"/>
      <c r="V183" s="76"/>
    </row>
    <row r="184" spans="1:22" ht="12.75">
      <c r="A184" s="79"/>
      <c r="B184" s="79"/>
      <c r="C184" s="79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9"/>
      <c r="O184" s="79"/>
      <c r="P184" s="79"/>
      <c r="Q184" s="79"/>
      <c r="R184" s="79"/>
      <c r="S184" s="79"/>
      <c r="T184" s="79"/>
      <c r="U184" s="6"/>
      <c r="V184" s="76"/>
    </row>
    <row r="185" spans="1:22" ht="12.75">
      <c r="A185" s="79"/>
      <c r="B185" s="79"/>
      <c r="C185" s="79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9"/>
      <c r="O185" s="79"/>
      <c r="P185" s="79"/>
      <c r="Q185" s="79"/>
      <c r="R185" s="79"/>
      <c r="S185" s="79"/>
      <c r="T185" s="79"/>
      <c r="U185" s="6"/>
      <c r="V185" s="76"/>
    </row>
    <row r="186" spans="1:22" ht="12.75">
      <c r="A186" s="79"/>
      <c r="B186" s="79"/>
      <c r="C186" s="79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9"/>
      <c r="O186" s="79"/>
      <c r="P186" s="79"/>
      <c r="Q186" s="79"/>
      <c r="R186" s="79"/>
      <c r="S186" s="79"/>
      <c r="T186" s="79"/>
      <c r="U186" s="6"/>
      <c r="V186" s="76"/>
    </row>
    <row r="187" spans="1:22" ht="12.75">
      <c r="A187" s="79"/>
      <c r="B187" s="79"/>
      <c r="C187" s="79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9"/>
      <c r="O187" s="79"/>
      <c r="P187" s="79"/>
      <c r="Q187" s="79"/>
      <c r="R187" s="79"/>
      <c r="S187" s="79"/>
      <c r="T187" s="79"/>
      <c r="U187" s="6"/>
      <c r="V187" s="76"/>
    </row>
    <row r="188" spans="1:22" ht="12.75">
      <c r="A188" s="79"/>
      <c r="B188" s="79"/>
      <c r="C188" s="79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9"/>
      <c r="O188" s="79"/>
      <c r="P188" s="79"/>
      <c r="Q188" s="79"/>
      <c r="R188" s="79"/>
      <c r="S188" s="79"/>
      <c r="T188" s="79"/>
      <c r="U188" s="6"/>
      <c r="V188" s="76"/>
    </row>
    <row r="189" spans="1:22" ht="12.75">
      <c r="A189" s="79"/>
      <c r="B189" s="79"/>
      <c r="C189" s="79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9"/>
      <c r="O189" s="79"/>
      <c r="P189" s="79"/>
      <c r="Q189" s="79"/>
      <c r="R189" s="79"/>
      <c r="S189" s="79"/>
      <c r="T189" s="79"/>
      <c r="U189" s="6"/>
      <c r="V189" s="76"/>
    </row>
    <row r="190" spans="1:22" ht="12.75">
      <c r="A190" s="79"/>
      <c r="B190" s="79"/>
      <c r="C190" s="79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9"/>
      <c r="O190" s="79"/>
      <c r="P190" s="79"/>
      <c r="Q190" s="79"/>
      <c r="R190" s="79"/>
      <c r="S190" s="79"/>
      <c r="T190" s="79"/>
      <c r="U190" s="6"/>
      <c r="V190" s="76"/>
    </row>
    <row r="191" spans="1:22" ht="12.75">
      <c r="A191" s="79"/>
      <c r="B191" s="79"/>
      <c r="C191" s="79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9"/>
      <c r="O191" s="79"/>
      <c r="P191" s="79"/>
      <c r="Q191" s="79"/>
      <c r="R191" s="79"/>
      <c r="S191" s="79"/>
      <c r="T191" s="79"/>
      <c r="U191" s="6"/>
      <c r="V191" s="76"/>
    </row>
    <row r="192" spans="1:22" ht="12.75">
      <c r="A192" s="79"/>
      <c r="B192" s="79"/>
      <c r="C192" s="79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9"/>
      <c r="O192" s="79"/>
      <c r="P192" s="79"/>
      <c r="Q192" s="79"/>
      <c r="R192" s="79"/>
      <c r="S192" s="79"/>
      <c r="T192" s="79"/>
      <c r="U192" s="6"/>
      <c r="V192" s="76"/>
    </row>
    <row r="193" spans="1:22" ht="12.75">
      <c r="A193" s="79"/>
      <c r="B193" s="79"/>
      <c r="C193" s="79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9"/>
      <c r="O193" s="79"/>
      <c r="P193" s="79"/>
      <c r="Q193" s="79"/>
      <c r="R193" s="79"/>
      <c r="S193" s="79"/>
      <c r="T193" s="79"/>
      <c r="U193" s="6"/>
      <c r="V193" s="76"/>
    </row>
    <row r="194" spans="1:22" ht="12.75">
      <c r="A194" s="79"/>
      <c r="B194" s="79"/>
      <c r="C194" s="79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9"/>
      <c r="O194" s="79"/>
      <c r="P194" s="79"/>
      <c r="Q194" s="79"/>
      <c r="R194" s="79"/>
      <c r="S194" s="79"/>
      <c r="T194" s="79"/>
      <c r="U194" s="6"/>
      <c r="V194" s="76"/>
    </row>
    <row r="195" spans="1:22" ht="12.75">
      <c r="A195" s="79"/>
      <c r="B195" s="79"/>
      <c r="C195" s="79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9"/>
      <c r="O195" s="79"/>
      <c r="P195" s="79"/>
      <c r="Q195" s="79"/>
      <c r="R195" s="79"/>
      <c r="S195" s="79"/>
      <c r="T195" s="79"/>
      <c r="U195" s="6"/>
      <c r="V195" s="76"/>
    </row>
    <row r="196" spans="1:22" ht="12.75">
      <c r="A196" s="79"/>
      <c r="B196" s="79"/>
      <c r="C196" s="79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9"/>
      <c r="O196" s="79"/>
      <c r="P196" s="79"/>
      <c r="Q196" s="79"/>
      <c r="R196" s="79"/>
      <c r="S196" s="79"/>
      <c r="T196" s="79"/>
      <c r="U196" s="6"/>
      <c r="V196" s="76"/>
    </row>
    <row r="197" spans="1:22" ht="12.75">
      <c r="A197" s="79"/>
      <c r="B197" s="79"/>
      <c r="C197" s="79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9"/>
      <c r="O197" s="79"/>
      <c r="P197" s="79"/>
      <c r="Q197" s="79"/>
      <c r="R197" s="79"/>
      <c r="S197" s="79"/>
      <c r="T197" s="79"/>
      <c r="U197" s="6"/>
      <c r="V197" s="76"/>
    </row>
    <row r="198" spans="1:22" ht="12.75">
      <c r="A198" s="79"/>
      <c r="B198" s="79"/>
      <c r="C198" s="79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9"/>
      <c r="O198" s="79"/>
      <c r="P198" s="79"/>
      <c r="Q198" s="79"/>
      <c r="R198" s="79"/>
      <c r="S198" s="79"/>
      <c r="T198" s="79"/>
      <c r="U198" s="6"/>
      <c r="V198" s="76"/>
    </row>
    <row r="199" spans="1:22" ht="12.75">
      <c r="A199" s="79"/>
      <c r="B199" s="79"/>
      <c r="C199" s="79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9"/>
      <c r="O199" s="79"/>
      <c r="P199" s="79"/>
      <c r="Q199" s="79"/>
      <c r="R199" s="79"/>
      <c r="S199" s="79"/>
      <c r="T199" s="79"/>
      <c r="U199" s="6"/>
      <c r="V199" s="76"/>
    </row>
    <row r="200" spans="1:22" ht="12.75">
      <c r="A200" s="79"/>
      <c r="B200" s="79"/>
      <c r="C200" s="79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9"/>
      <c r="O200" s="79"/>
      <c r="P200" s="79"/>
      <c r="Q200" s="79"/>
      <c r="R200" s="79"/>
      <c r="S200" s="79"/>
      <c r="T200" s="79"/>
      <c r="U200" s="6"/>
      <c r="V200" s="76"/>
    </row>
    <row r="201" spans="1:22" ht="12.75">
      <c r="A201" s="79"/>
      <c r="B201" s="79"/>
      <c r="C201" s="79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9"/>
      <c r="O201" s="79"/>
      <c r="P201" s="79"/>
      <c r="Q201" s="79"/>
      <c r="R201" s="79"/>
      <c r="S201" s="79"/>
      <c r="T201" s="79"/>
      <c r="U201" s="6"/>
      <c r="V201" s="76"/>
    </row>
    <row r="202" spans="1:22" ht="12.75">
      <c r="A202" s="79"/>
      <c r="B202" s="79"/>
      <c r="C202" s="79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9"/>
      <c r="O202" s="79"/>
      <c r="P202" s="79"/>
      <c r="Q202" s="79"/>
      <c r="R202" s="79"/>
      <c r="S202" s="79"/>
      <c r="T202" s="79"/>
      <c r="U202" s="6"/>
      <c r="V202" s="76"/>
    </row>
    <row r="203" spans="1:22" ht="12.75">
      <c r="A203" s="79"/>
      <c r="B203" s="79"/>
      <c r="C203" s="79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9"/>
      <c r="O203" s="79"/>
      <c r="P203" s="79"/>
      <c r="Q203" s="79"/>
      <c r="R203" s="79"/>
      <c r="S203" s="79"/>
      <c r="T203" s="79"/>
      <c r="U203" s="6"/>
      <c r="V203" s="76"/>
    </row>
    <row r="204" spans="1:22" ht="12.75">
      <c r="A204" s="79"/>
      <c r="B204" s="79"/>
      <c r="C204" s="79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9"/>
      <c r="O204" s="79"/>
      <c r="P204" s="79"/>
      <c r="Q204" s="79"/>
      <c r="R204" s="79"/>
      <c r="S204" s="79"/>
      <c r="T204" s="79"/>
      <c r="U204" s="6"/>
      <c r="V204" s="76"/>
    </row>
    <row r="205" spans="1:22" ht="12.75">
      <c r="A205" s="79"/>
      <c r="B205" s="79"/>
      <c r="C205" s="79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9"/>
      <c r="O205" s="79"/>
      <c r="P205" s="79"/>
      <c r="Q205" s="79"/>
      <c r="R205" s="79"/>
      <c r="S205" s="79"/>
      <c r="T205" s="79"/>
      <c r="U205" s="6"/>
      <c r="V205" s="76"/>
    </row>
    <row r="206" spans="1:22" ht="12.75">
      <c r="A206" s="79"/>
      <c r="B206" s="79"/>
      <c r="C206" s="79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9"/>
      <c r="O206" s="79"/>
      <c r="P206" s="79"/>
      <c r="Q206" s="79"/>
      <c r="R206" s="79"/>
      <c r="S206" s="79"/>
      <c r="T206" s="79"/>
      <c r="U206" s="6"/>
      <c r="V206" s="76"/>
    </row>
    <row r="207" spans="1:22" ht="12.75">
      <c r="A207" s="79"/>
      <c r="B207" s="79"/>
      <c r="C207" s="79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9"/>
      <c r="O207" s="79"/>
      <c r="P207" s="79"/>
      <c r="Q207" s="79"/>
      <c r="R207" s="79"/>
      <c r="S207" s="79"/>
      <c r="T207" s="79"/>
      <c r="U207" s="6"/>
      <c r="V207" s="76"/>
    </row>
    <row r="208" spans="1:22" ht="12.75">
      <c r="A208" s="79"/>
      <c r="B208" s="79"/>
      <c r="C208" s="79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9"/>
      <c r="O208" s="79"/>
      <c r="P208" s="79"/>
      <c r="Q208" s="79"/>
      <c r="R208" s="79"/>
      <c r="S208" s="79"/>
      <c r="T208" s="79"/>
      <c r="U208" s="6"/>
      <c r="V208" s="76"/>
    </row>
    <row r="209" spans="1:22" ht="12.75">
      <c r="A209" s="79"/>
      <c r="B209" s="79"/>
      <c r="C209" s="79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9"/>
      <c r="O209" s="79"/>
      <c r="P209" s="79"/>
      <c r="Q209" s="79"/>
      <c r="R209" s="79"/>
      <c r="S209" s="79"/>
      <c r="T209" s="79"/>
      <c r="U209" s="6"/>
      <c r="V209" s="76"/>
    </row>
    <row r="210" spans="1:22" ht="12.7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1:22" ht="12.7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</row>
    <row r="212" spans="1:22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</row>
    <row r="213" spans="1:22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</row>
    <row r="214" spans="1:22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</row>
    <row r="215" spans="1:22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</row>
    <row r="216" spans="1:22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</row>
    <row r="217" spans="1:22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</row>
    <row r="218" spans="1:22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</row>
    <row r="219" spans="1:22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</row>
    <row r="220" spans="1:22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1" spans="1:22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</row>
    <row r="222" spans="1:22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1:22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1:22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1:22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1:22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1:22" ht="12.7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1:22" ht="12.7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1:22" ht="12.7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1:22" ht="12.7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1:22" ht="12.7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1:22" ht="12.7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1:22" ht="12.7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1:22" ht="12.7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1:22" ht="12.7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1:22" ht="12.7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</sheetData>
  <sheetProtection password="C596" sheet="1" objects="1" scenarios="1"/>
  <printOptions horizontalCentered="1"/>
  <pageMargins left="0.52" right="0.52" top="1.5" bottom="0.75" header="0.5" footer="0.5"/>
  <pageSetup horizontalDpi="300" verticalDpi="300" orientation="landscape" scale="89" r:id="rId1"/>
  <headerFooter alignWithMargins="0">
    <oddHeader>&amp;CLDEQ RECAP
APPENDIX I
TABLE I8
CHEMICAL AND PHYSICAL PARAMETERS</oddHeader>
    <oddFooter>&amp;LNOTE: See end of table for designation of numbers and letter.&amp;CTI18 - &amp;P</oddFooter>
  </headerFooter>
  <rowBreaks count="1" manualBreakCount="1">
    <brk id="31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7.421875" style="8" bestFit="1" customWidth="1"/>
    <col min="2" max="2" width="10.57421875" style="8" bestFit="1" customWidth="1"/>
    <col min="3" max="3" width="9.140625" style="8" customWidth="1"/>
    <col min="4" max="4" width="10.28125" style="8" bestFit="1" customWidth="1"/>
    <col min="5" max="16384" width="9.140625" style="8" customWidth="1"/>
  </cols>
  <sheetData>
    <row r="1" spans="1:5" ht="12.75">
      <c r="A1" s="155" t="str">
        <f>'SF&amp;RfD'!A1</f>
        <v>COMPOUND</v>
      </c>
      <c r="B1" s="156" t="s">
        <v>460</v>
      </c>
      <c r="C1" s="177" t="s">
        <v>461</v>
      </c>
      <c r="E1" s="36"/>
    </row>
    <row r="2" spans="1:5" ht="12.75">
      <c r="A2" s="178"/>
      <c r="B2" s="179" t="s">
        <v>100</v>
      </c>
      <c r="C2" s="180" t="s">
        <v>101</v>
      </c>
      <c r="D2" s="37"/>
      <c r="E2" s="26"/>
    </row>
    <row r="3" spans="1:5" ht="12.75">
      <c r="A3" s="164" t="str">
        <f>'SF&amp;RfD'!A3</f>
        <v>Acenaphthene</v>
      </c>
      <c r="B3" s="181"/>
      <c r="C3" s="182">
        <v>0.01</v>
      </c>
      <c r="E3" s="42"/>
    </row>
    <row r="4" spans="1:5" ht="12.75">
      <c r="A4" s="164" t="str">
        <f>'SF&amp;RfD'!A4</f>
        <v>Acenaphthylene</v>
      </c>
      <c r="B4" s="181"/>
      <c r="C4" s="182"/>
      <c r="E4" s="42"/>
    </row>
    <row r="5" spans="1:5" ht="12.75">
      <c r="A5" s="169" t="str">
        <f>'SF&amp;RfD'!A5</f>
        <v>Anthracene</v>
      </c>
      <c r="B5" s="183"/>
      <c r="C5" s="152">
        <v>0.01</v>
      </c>
      <c r="E5" s="26"/>
    </row>
    <row r="6" spans="1:5" ht="12.75">
      <c r="A6" s="169" t="str">
        <f>'SF&amp;RfD'!A6</f>
        <v>Benzene</v>
      </c>
      <c r="B6" s="183"/>
      <c r="C6" s="152"/>
      <c r="E6" s="26"/>
    </row>
    <row r="7" spans="1:5" ht="12.75">
      <c r="A7" s="169" t="str">
        <f>'SF&amp;RfD'!A7</f>
        <v>Benz(a)anthracene</v>
      </c>
      <c r="B7" s="183"/>
      <c r="C7" s="152">
        <v>0.0078</v>
      </c>
      <c r="E7" s="26"/>
    </row>
    <row r="8" spans="1:5" ht="12.75">
      <c r="A8" s="169" t="str">
        <f>'SF&amp;RfD'!A8</f>
        <v>Benzo(a)pyrene</v>
      </c>
      <c r="B8" s="183">
        <v>0.33</v>
      </c>
      <c r="C8" s="152"/>
      <c r="E8" s="26"/>
    </row>
    <row r="9" spans="1:5" ht="12.75">
      <c r="A9" s="169" t="str">
        <f>'SF&amp;RfD'!A9</f>
        <v>Benzo(b)fluoranthene</v>
      </c>
      <c r="B9" s="183"/>
      <c r="C9" s="152">
        <v>0.0048</v>
      </c>
      <c r="E9" s="26"/>
    </row>
    <row r="10" spans="1:5" ht="12.75">
      <c r="A10" s="169" t="str">
        <f>'SF&amp;RfD'!A10</f>
        <v>Benzo(k)fluoranthene</v>
      </c>
      <c r="B10" s="183"/>
      <c r="C10" s="152">
        <v>0.0025</v>
      </c>
      <c r="E10" s="26"/>
    </row>
    <row r="11" spans="1:5" ht="12.75">
      <c r="A11" s="169" t="str">
        <f>'SF&amp;RfD'!A11</f>
        <v>Chrysene</v>
      </c>
      <c r="B11" s="183"/>
      <c r="C11" s="152">
        <v>0.0015</v>
      </c>
      <c r="E11" s="26"/>
    </row>
    <row r="12" spans="1:5" ht="12.75">
      <c r="A12" s="169" t="str">
        <f>'SF&amp;RfD'!A12</f>
        <v>Dibenz(a,h)anthracene</v>
      </c>
      <c r="B12" s="183">
        <v>0.33</v>
      </c>
      <c r="C12" s="152">
        <v>0.0025</v>
      </c>
      <c r="E12" s="26"/>
    </row>
    <row r="13" spans="1:5" ht="12.75">
      <c r="A13" s="169" t="str">
        <f>'SF&amp;RfD'!A13</f>
        <v>Ethyl benzene</v>
      </c>
      <c r="B13" s="183"/>
      <c r="C13" s="152"/>
      <c r="E13" s="26"/>
    </row>
    <row r="14" spans="1:5" ht="12.75">
      <c r="A14" s="169" t="str">
        <f>'SF&amp;RfD'!A14</f>
        <v>Fluoranthene</v>
      </c>
      <c r="B14" s="183"/>
      <c r="C14" s="152">
        <v>0.01</v>
      </c>
      <c r="E14" s="26"/>
    </row>
    <row r="15" spans="1:5" ht="12.75">
      <c r="A15" s="169" t="str">
        <f>'SF&amp;RfD'!A15</f>
        <v>Fluorene</v>
      </c>
      <c r="B15" s="183"/>
      <c r="C15" s="152">
        <v>0.01</v>
      </c>
      <c r="E15" s="26"/>
    </row>
    <row r="16" spans="1:5" ht="12.75">
      <c r="A16" s="169" t="str">
        <f>'SF&amp;RfD'!A16</f>
        <v>Indeno(1,2,3-cd)pyrene</v>
      </c>
      <c r="B16" s="183"/>
      <c r="C16" s="152">
        <v>0.0037</v>
      </c>
      <c r="E16" s="26"/>
    </row>
    <row r="17" spans="1:5" ht="12.75">
      <c r="A17" s="169" t="str">
        <f>'SF&amp;RfD'!A17</f>
        <v>Lead (inorganic)</v>
      </c>
      <c r="B17" s="183"/>
      <c r="C17" s="152"/>
      <c r="E17" s="26"/>
    </row>
    <row r="18" spans="1:5" ht="12.75">
      <c r="A18" s="169" t="str">
        <f>'SF&amp;RfD'!A18</f>
        <v>Methyl ethyl ketone</v>
      </c>
      <c r="B18" s="183"/>
      <c r="C18" s="152">
        <v>0.1</v>
      </c>
      <c r="E18" s="26"/>
    </row>
    <row r="19" spans="1:5" ht="12.75">
      <c r="A19" s="169" t="str">
        <f>'SF&amp;RfD'!A19</f>
        <v>Methyl isobutyl ketone</v>
      </c>
      <c r="B19" s="183"/>
      <c r="C19" s="152">
        <v>0.05</v>
      </c>
      <c r="E19" s="26"/>
    </row>
    <row r="20" spans="1:5" ht="12.75">
      <c r="A20" s="169" t="str">
        <f>'SF&amp;RfD'!A20</f>
        <v>Methylnaphthalene,2-</v>
      </c>
      <c r="B20" s="183"/>
      <c r="C20" s="152"/>
      <c r="E20" s="26"/>
    </row>
    <row r="21" spans="1:5" ht="12.75">
      <c r="A21" s="169" t="str">
        <f>'SF&amp;RfD'!A21</f>
        <v>MTBE (methyl tert-butyl ether)</v>
      </c>
      <c r="B21" s="183"/>
      <c r="C21" s="152">
        <v>0.0005</v>
      </c>
      <c r="E21" s="26"/>
    </row>
    <row r="22" spans="1:5" ht="12.75">
      <c r="A22" s="169" t="str">
        <f>'SF&amp;RfD'!A22</f>
        <v>Naphthalene</v>
      </c>
      <c r="B22" s="183"/>
      <c r="C22" s="152">
        <v>0.01</v>
      </c>
      <c r="E22" s="26"/>
    </row>
    <row r="23" spans="1:5" ht="12.75">
      <c r="A23" s="169" t="str">
        <f>'SF&amp;RfD'!A23</f>
        <v>Phenanthrene</v>
      </c>
      <c r="B23" s="183"/>
      <c r="C23" s="152"/>
      <c r="E23" s="26"/>
    </row>
    <row r="24" spans="1:5" ht="12.75">
      <c r="A24" s="169" t="str">
        <f>'SF&amp;RfD'!A24</f>
        <v>Pyrene</v>
      </c>
      <c r="B24" s="183"/>
      <c r="C24" s="152">
        <v>0.01</v>
      </c>
      <c r="E24" s="26"/>
    </row>
    <row r="25" spans="1:5" ht="12.75">
      <c r="A25" s="169" t="str">
        <f>'SF&amp;RfD'!A25</f>
        <v>Toluene</v>
      </c>
      <c r="B25" s="183"/>
      <c r="C25" s="152"/>
      <c r="E25" s="26"/>
    </row>
    <row r="26" spans="1:5" ht="12.75">
      <c r="A26" s="169" t="str">
        <f>'SF&amp;RfD'!A26</f>
        <v>Xylene(mixed)</v>
      </c>
      <c r="B26" s="183"/>
      <c r="C26" s="152"/>
      <c r="E26" s="26"/>
    </row>
    <row r="27" spans="1:5" ht="12.75">
      <c r="A27" s="169" t="str">
        <f>'SF&amp;RfD'!A27</f>
        <v>Aliphatics C6-C8</v>
      </c>
      <c r="B27" s="183"/>
      <c r="C27" s="152">
        <v>0.15</v>
      </c>
      <c r="E27" s="26"/>
    </row>
    <row r="28" spans="1:5" ht="12.75">
      <c r="A28" s="169" t="str">
        <f>'SF&amp;RfD'!A28</f>
        <v>Aliphatics &gt;C8-C10</v>
      </c>
      <c r="B28" s="183"/>
      <c r="C28" s="152">
        <v>0.15</v>
      </c>
      <c r="E28" s="26"/>
    </row>
    <row r="29" spans="1:5" ht="12.75">
      <c r="A29" s="169" t="str">
        <f>'SF&amp;RfD'!A29</f>
        <v>Aliphatics &gt;C10-C12</v>
      </c>
      <c r="B29" s="183"/>
      <c r="C29" s="152">
        <v>0.15</v>
      </c>
      <c r="E29" s="26"/>
    </row>
    <row r="30" spans="1:5" ht="12.75">
      <c r="A30" s="169" t="str">
        <f>'SF&amp;RfD'!A30</f>
        <v>Aliphatics &gt;C12-C16</v>
      </c>
      <c r="B30" s="183"/>
      <c r="C30" s="152">
        <v>0.15</v>
      </c>
      <c r="E30" s="26"/>
    </row>
    <row r="31" spans="1:5" ht="12.75">
      <c r="A31" s="169" t="str">
        <f>'SF&amp;RfD'!A31</f>
        <v>Aliphatics &gt;C16-C35</v>
      </c>
      <c r="B31" s="183"/>
      <c r="C31" s="152">
        <v>0.15</v>
      </c>
      <c r="E31" s="26"/>
    </row>
    <row r="32" spans="1:5" ht="12.75">
      <c r="A32" s="169" t="str">
        <f>'SF&amp;RfD'!A32</f>
        <v>Aromatics &gt;C8-C10</v>
      </c>
      <c r="B32" s="183"/>
      <c r="C32" s="152">
        <v>0.15</v>
      </c>
      <c r="E32" s="26"/>
    </row>
    <row r="33" spans="1:5" ht="12.75">
      <c r="A33" s="169" t="str">
        <f>'SF&amp;RfD'!A33</f>
        <v>Aromatics &gt;C10-C12</v>
      </c>
      <c r="B33" s="183"/>
      <c r="C33" s="152">
        <v>0.15</v>
      </c>
      <c r="E33" s="26"/>
    </row>
    <row r="34" spans="1:5" ht="12.75">
      <c r="A34" s="169" t="str">
        <f>'SF&amp;RfD'!A34</f>
        <v>Aromatics &gt;C12-C16</v>
      </c>
      <c r="B34" s="183"/>
      <c r="C34" s="152">
        <v>0.15</v>
      </c>
      <c r="E34" s="26"/>
    </row>
    <row r="35" spans="1:5" ht="12.75">
      <c r="A35" s="169" t="str">
        <f>'SF&amp;RfD'!A35</f>
        <v>Aromatics &gt;C16-C21</v>
      </c>
      <c r="B35" s="183"/>
      <c r="C35" s="152">
        <v>0.15</v>
      </c>
      <c r="E35" s="26"/>
    </row>
    <row r="36" spans="1:5" ht="12.75">
      <c r="A36" s="160" t="str">
        <f>'SF&amp;RfD'!A36</f>
        <v>Aromatics &gt;C21-C35</v>
      </c>
      <c r="B36" s="184"/>
      <c r="C36" s="185">
        <v>0.15</v>
      </c>
      <c r="E36" s="27"/>
    </row>
    <row r="37" spans="1:5" ht="12.75">
      <c r="A37" s="123"/>
      <c r="B37" s="186"/>
      <c r="C37" s="187"/>
      <c r="D37" s="80"/>
      <c r="E37" s="81"/>
    </row>
    <row r="38" spans="1:5" ht="12.75">
      <c r="A38" s="37"/>
      <c r="B38" s="80"/>
      <c r="C38" s="81"/>
      <c r="D38" s="80"/>
      <c r="E38" s="81"/>
    </row>
    <row r="39" spans="1:5" ht="12.75">
      <c r="A39" s="37"/>
      <c r="B39" s="80"/>
      <c r="C39" s="81"/>
      <c r="D39" s="80"/>
      <c r="E39" s="81"/>
    </row>
    <row r="40" spans="1:5" ht="12.75">
      <c r="A40" s="37"/>
      <c r="B40" s="80"/>
      <c r="C40" s="81"/>
      <c r="D40" s="80"/>
      <c r="E40" s="81"/>
    </row>
    <row r="41" spans="1:5" ht="12.75">
      <c r="A41" s="37"/>
      <c r="B41" s="80"/>
      <c r="C41" s="81"/>
      <c r="D41" s="80"/>
      <c r="E41" s="81"/>
    </row>
    <row r="42" spans="1:5" ht="12.75">
      <c r="A42" s="37"/>
      <c r="B42" s="80"/>
      <c r="C42" s="81"/>
      <c r="D42" s="80"/>
      <c r="E42" s="81"/>
    </row>
    <row r="43" spans="1:5" ht="12.75">
      <c r="A43" s="37"/>
      <c r="B43" s="80"/>
      <c r="C43" s="81"/>
      <c r="D43" s="80"/>
      <c r="E43" s="81"/>
    </row>
    <row r="44" spans="1:5" ht="12.75">
      <c r="A44" s="37"/>
      <c r="B44" s="80"/>
      <c r="C44" s="81"/>
      <c r="D44" s="80"/>
      <c r="E44" s="81"/>
    </row>
    <row r="45" spans="1:5" ht="12.75">
      <c r="A45" s="111" t="str">
        <f>'SF&amp;RfD'!A55</f>
        <v>ADDITIONAL COMPOUNDS</v>
      </c>
      <c r="B45" s="80"/>
      <c r="C45" s="81"/>
      <c r="D45" s="80"/>
      <c r="E45" s="81"/>
    </row>
    <row r="46" spans="1:5" ht="12.75">
      <c r="A46" s="33" t="str">
        <f>'SF&amp;RfD'!A56</f>
        <v>ORGANIC COUMPOUNDS</v>
      </c>
      <c r="B46" s="118"/>
      <c r="C46" s="118"/>
      <c r="D46" s="118"/>
      <c r="E46" s="118"/>
    </row>
    <row r="47" spans="1:5" ht="12.75">
      <c r="A47" s="33" t="str">
        <f>'SF&amp;RfD'!A57</f>
        <v>Benzene</v>
      </c>
      <c r="B47" s="35"/>
      <c r="C47" s="28"/>
      <c r="D47" s="35"/>
      <c r="E47" s="28"/>
    </row>
    <row r="48" spans="1:5" ht="12.75">
      <c r="A48" s="33" t="str">
        <f>'SF&amp;RfD'!A58</f>
        <v>Benzene</v>
      </c>
      <c r="B48" s="35"/>
      <c r="C48" s="28"/>
      <c r="D48" s="35"/>
      <c r="E48" s="28"/>
    </row>
    <row r="49" spans="1:5" ht="12.75">
      <c r="A49" s="33" t="str">
        <f>'SF&amp;RfD'!A59</f>
        <v>Benzene</v>
      </c>
      <c r="B49" s="35"/>
      <c r="C49" s="28"/>
      <c r="D49" s="35"/>
      <c r="E49" s="28"/>
    </row>
    <row r="50" spans="1:5" ht="12.75">
      <c r="A50" s="33" t="str">
        <f>'SF&amp;RfD'!A60</f>
        <v>Benzene</v>
      </c>
      <c r="B50" s="35"/>
      <c r="C50" s="28"/>
      <c r="D50" s="35"/>
      <c r="E50" s="28"/>
    </row>
    <row r="51" spans="1:5" ht="12.75">
      <c r="A51" s="33" t="str">
        <f>'SF&amp;RfD'!A61</f>
        <v>Benzene</v>
      </c>
      <c r="B51" s="35"/>
      <c r="C51" s="28"/>
      <c r="D51" s="35"/>
      <c r="E51" s="28"/>
    </row>
    <row r="52" spans="1:5" ht="12.75">
      <c r="A52" s="33" t="str">
        <f>'SF&amp;RfD'!A62</f>
        <v>Benzene</v>
      </c>
      <c r="B52" s="35"/>
      <c r="C52" s="28"/>
      <c r="D52" s="35"/>
      <c r="E52" s="28"/>
    </row>
    <row r="53" spans="1:5" ht="12.75">
      <c r="A53" s="33" t="str">
        <f>'SF&amp;RfD'!A63</f>
        <v>Formaldehyde</v>
      </c>
      <c r="B53" s="35"/>
      <c r="C53" s="28"/>
      <c r="D53" s="35"/>
      <c r="E53" s="28"/>
    </row>
    <row r="54" spans="1:5" ht="12.75">
      <c r="A54" s="118"/>
      <c r="B54" s="118"/>
      <c r="C54" s="118"/>
      <c r="D54" s="118"/>
      <c r="E54" s="118"/>
    </row>
    <row r="55" spans="1:5" ht="12.75">
      <c r="A55" s="118"/>
      <c r="B55" s="118"/>
      <c r="C55" s="118"/>
      <c r="D55" s="118"/>
      <c r="E55" s="118"/>
    </row>
    <row r="56" spans="1:5" ht="12.75">
      <c r="A56" s="33" t="str">
        <f>'SF&amp;RfD'!A66</f>
        <v>INORGANIC COMPOUNDS</v>
      </c>
      <c r="B56" s="118"/>
      <c r="C56" s="118"/>
      <c r="D56" s="118"/>
      <c r="E56" s="118"/>
    </row>
    <row r="57" spans="1:5" ht="12.75">
      <c r="A57" s="33" t="str">
        <f>'SF&amp;RfD'!A67</f>
        <v>Antimony</v>
      </c>
      <c r="B57" s="35"/>
      <c r="C57" s="28"/>
      <c r="D57" s="35"/>
      <c r="E57" s="28"/>
    </row>
    <row r="58" spans="1:5" ht="12.75">
      <c r="A58" s="33" t="str">
        <f>'SF&amp;RfD'!A68</f>
        <v>Antimony</v>
      </c>
      <c r="B58" s="35"/>
      <c r="C58" s="28"/>
      <c r="D58" s="35"/>
      <c r="E58" s="28"/>
    </row>
    <row r="59" spans="1:5" ht="12.75">
      <c r="A59" s="33" t="str">
        <f>'SF&amp;RfD'!A69</f>
        <v>Antimony</v>
      </c>
      <c r="B59" s="35"/>
      <c r="C59" s="28"/>
      <c r="D59" s="35"/>
      <c r="E59" s="28"/>
    </row>
    <row r="60" spans="1:5" ht="12.75">
      <c r="A60" s="37"/>
      <c r="B60" s="37"/>
      <c r="C60" s="37"/>
      <c r="D60" s="37"/>
      <c r="E60" s="37"/>
    </row>
  </sheetData>
  <sheetProtection password="C596" sheet="1" objects="1" scenarios="1"/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&amp;CLDEQ RECAP
APPENDIX I
QUANTITATION LIMITS USED IN RECAP</oddHeader>
    <oddFooter>&amp;CTI18-&amp;P+2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7.8515625" defaultRowHeight="12.75"/>
  <cols>
    <col min="1" max="1" width="8.7109375" style="37" customWidth="1"/>
    <col min="2" max="2" width="11.7109375" style="37" customWidth="1"/>
    <col min="3" max="5" width="7.8515625" style="37" customWidth="1"/>
    <col min="6" max="6" width="8.00390625" style="37" bestFit="1" customWidth="1"/>
    <col min="7" max="16384" width="7.8515625" style="37" customWidth="1"/>
  </cols>
  <sheetData>
    <row r="1" spans="1:3" ht="12.75">
      <c r="A1" s="82" t="s">
        <v>182</v>
      </c>
      <c r="C1" s="37" t="s">
        <v>394</v>
      </c>
    </row>
    <row r="2" ht="12.75">
      <c r="A2" s="96" t="str">
        <f>Soilni!A2</f>
        <v>Revision Date: 08/04/2003</v>
      </c>
    </row>
    <row r="3" spans="1:2" ht="12.75">
      <c r="A3" s="96" t="str">
        <f>Soilni!B2</f>
        <v>Run date:</v>
      </c>
      <c r="B3" s="126">
        <f>Soilni!C2</f>
        <v>37932</v>
      </c>
    </row>
    <row r="5" ht="12.75">
      <c r="A5" s="83" t="s">
        <v>104</v>
      </c>
    </row>
    <row r="6" spans="1:4" ht="12.75">
      <c r="A6" s="13">
        <v>1.7</v>
      </c>
      <c r="B6" s="37" t="s">
        <v>183</v>
      </c>
      <c r="D6" s="37" t="s">
        <v>184</v>
      </c>
    </row>
    <row r="7" spans="1:4" ht="12.75">
      <c r="A7" s="13">
        <f>1-(pb/ps)</f>
        <v>0.3584905660377359</v>
      </c>
      <c r="B7" s="37" t="s">
        <v>185</v>
      </c>
      <c r="D7" s="37" t="s">
        <v>186</v>
      </c>
    </row>
    <row r="8" spans="1:4" ht="12.75">
      <c r="A8" s="13">
        <v>0.21</v>
      </c>
      <c r="B8" s="37" t="s">
        <v>187</v>
      </c>
      <c r="D8" s="83" t="s">
        <v>188</v>
      </c>
    </row>
    <row r="9" spans="1:4" ht="12.75">
      <c r="A9" s="13">
        <f>n-nw</f>
        <v>0.1484905660377359</v>
      </c>
      <c r="B9" s="37" t="s">
        <v>189</v>
      </c>
      <c r="D9" s="37" t="s">
        <v>190</v>
      </c>
    </row>
    <row r="10" spans="1:4" ht="12.75">
      <c r="A10" s="13">
        <v>2.65</v>
      </c>
      <c r="B10" s="37" t="s">
        <v>183</v>
      </c>
      <c r="D10" s="37" t="s">
        <v>191</v>
      </c>
    </row>
    <row r="11" spans="1:4" ht="12.75">
      <c r="A11" s="13">
        <v>0.006</v>
      </c>
      <c r="B11" s="37" t="s">
        <v>192</v>
      </c>
      <c r="D11" s="37" t="s">
        <v>193</v>
      </c>
    </row>
    <row r="12" spans="1:2" ht="12.75">
      <c r="A12" s="13">
        <v>148</v>
      </c>
      <c r="B12" s="37" t="s">
        <v>315</v>
      </c>
    </row>
    <row r="13" spans="1:2" ht="12.75">
      <c r="A13" s="13">
        <v>148</v>
      </c>
      <c r="B13" s="37" t="s">
        <v>324</v>
      </c>
    </row>
    <row r="14" spans="1:4" ht="12.75">
      <c r="A14" s="122">
        <f>A12*A13/43560</f>
        <v>0.5028466483011937</v>
      </c>
      <c r="B14" s="37" t="s">
        <v>362</v>
      </c>
      <c r="D14" s="37" t="s">
        <v>363</v>
      </c>
    </row>
    <row r="15" spans="1:4" ht="12.75">
      <c r="A15" s="123">
        <f>13.6482*EXP((LN(A14)-18.1754)^2/206.7273)</f>
        <v>76.30615825317457</v>
      </c>
      <c r="B15" s="37" t="s">
        <v>194</v>
      </c>
      <c r="D15" s="37" t="s">
        <v>195</v>
      </c>
    </row>
    <row r="16" ht="12.75">
      <c r="A16" s="82"/>
    </row>
    <row r="17" ht="12.75">
      <c r="B17" s="104"/>
    </row>
    <row r="18" ht="12.75">
      <c r="A18" s="82" t="s">
        <v>379</v>
      </c>
    </row>
    <row r="19" spans="1:7" ht="12.75">
      <c r="A19" s="37" t="s">
        <v>380</v>
      </c>
      <c r="B19" s="37" t="s">
        <v>388</v>
      </c>
      <c r="C19" s="37" t="s">
        <v>389</v>
      </c>
      <c r="D19" s="37" t="s">
        <v>390</v>
      </c>
      <c r="E19" s="37" t="s">
        <v>391</v>
      </c>
      <c r="F19" s="37" t="s">
        <v>392</v>
      </c>
      <c r="G19" s="37" t="s">
        <v>393</v>
      </c>
    </row>
    <row r="20" spans="1:7" ht="12.75">
      <c r="A20" s="37" t="s">
        <v>380</v>
      </c>
      <c r="B20" s="86" t="s">
        <v>381</v>
      </c>
      <c r="C20" s="86" t="s">
        <v>382</v>
      </c>
      <c r="D20" s="86" t="s">
        <v>383</v>
      </c>
      <c r="E20" s="86" t="s">
        <v>384</v>
      </c>
      <c r="F20" s="86" t="s">
        <v>385</v>
      </c>
      <c r="G20" s="86" t="s">
        <v>386</v>
      </c>
    </row>
    <row r="21" spans="1:7" ht="12.75">
      <c r="A21" s="37" t="s">
        <v>387</v>
      </c>
      <c r="B21" s="37">
        <v>76.3062</v>
      </c>
      <c r="C21" s="37">
        <v>67.4304</v>
      </c>
      <c r="D21" s="37">
        <v>59.872</v>
      </c>
      <c r="E21" s="37">
        <v>51.4648</v>
      </c>
      <c r="F21" s="37">
        <v>46.1707</v>
      </c>
      <c r="G21" s="37">
        <v>39.2329</v>
      </c>
    </row>
  </sheetData>
  <sheetProtection password="C596" sheet="1" objects="1" scenarios="1"/>
  <printOptions gridLines="1" horizontalCentered="1"/>
  <pageMargins left="0.75" right="0.75" top="1.5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0.7109375" style="8" customWidth="1"/>
    <col min="3" max="7" width="9.140625" style="8" customWidth="1"/>
    <col min="8" max="8" width="9.7109375" style="8" customWidth="1"/>
    <col min="9" max="16384" width="9.140625" style="8" customWidth="1"/>
  </cols>
  <sheetData>
    <row r="1" spans="1:11" ht="12.75">
      <c r="A1" s="194" t="s">
        <v>308</v>
      </c>
      <c r="B1" s="123"/>
      <c r="C1" s="123"/>
      <c r="D1" s="37"/>
      <c r="E1" s="37"/>
      <c r="F1" s="37"/>
      <c r="G1" s="37"/>
      <c r="H1" s="37"/>
      <c r="I1" s="37"/>
      <c r="J1" s="37"/>
      <c r="K1" s="37"/>
    </row>
    <row r="2" spans="1:11" ht="12.75">
      <c r="A2" s="195" t="str">
        <f>Soilni!$A$2</f>
        <v>Revision Date: 08/04/2003</v>
      </c>
      <c r="B2" s="123"/>
      <c r="C2" s="123"/>
      <c r="D2" s="37"/>
      <c r="E2" s="37"/>
      <c r="F2" s="37"/>
      <c r="G2" s="37"/>
      <c r="H2" s="37"/>
      <c r="I2" s="37"/>
      <c r="J2" s="37"/>
      <c r="K2" s="37"/>
    </row>
    <row r="3" spans="1:11" ht="12.75">
      <c r="A3" s="123" t="s">
        <v>197</v>
      </c>
      <c r="B3" s="196">
        <f ca="1">TODAY()</f>
        <v>37932</v>
      </c>
      <c r="C3" s="123"/>
      <c r="D3" s="37"/>
      <c r="E3" s="37"/>
      <c r="F3" s="37"/>
      <c r="G3" s="37"/>
      <c r="H3" s="37"/>
      <c r="I3" s="37"/>
      <c r="J3" s="37"/>
      <c r="K3" s="37"/>
    </row>
    <row r="4" spans="1:11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82" t="s">
        <v>309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97">
        <f>IF(A9+A16&gt;B,B,A9+A16)</f>
        <v>15.605550236173093</v>
      </c>
      <c r="B6" s="37" t="s">
        <v>310</v>
      </c>
      <c r="C6" s="37"/>
      <c r="D6" s="37"/>
      <c r="E6" s="37"/>
      <c r="F6" s="37"/>
      <c r="G6" s="37"/>
      <c r="H6" s="37"/>
      <c r="I6" s="37"/>
      <c r="J6" s="37"/>
      <c r="K6" s="37"/>
    </row>
    <row r="7" spans="1:11" ht="12.75">
      <c r="A7" s="98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.75">
      <c r="A8" s="98" t="s">
        <v>311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2.75">
      <c r="A9" s="98">
        <f>B*(1-EXP((-I*L)/(B*Dv)))</f>
        <v>0.8055502361730937</v>
      </c>
      <c r="B9" s="37" t="s">
        <v>312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ht="12.75">
      <c r="A10" s="14">
        <v>0.3333333333333333</v>
      </c>
      <c r="B10" s="37" t="s">
        <v>440</v>
      </c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2.75">
      <c r="A11" s="14">
        <v>60</v>
      </c>
      <c r="B11" s="37" t="s">
        <v>313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2.75">
      <c r="A12" s="14">
        <v>20</v>
      </c>
      <c r="B12" s="37" t="s">
        <v>314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2.75">
      <c r="A13" s="110">
        <f>'Soil properties &amp; QC'!A12</f>
        <v>148</v>
      </c>
      <c r="B13" s="37" t="s">
        <v>315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98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>
      <c r="A15" s="98" t="s">
        <v>316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12.75">
      <c r="A16" s="98">
        <f>(2*Az*L)^0.5</f>
        <v>14.799999999999999</v>
      </c>
      <c r="B16" s="37" t="s">
        <v>317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2.75">
      <c r="A17" s="15">
        <f>L/200</f>
        <v>0.74</v>
      </c>
      <c r="B17" s="37" t="s">
        <v>318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98">
        <f>+L</f>
        <v>148</v>
      </c>
      <c r="B18" s="37" t="s">
        <v>315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2.75">
      <c r="A19" s="98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2.75">
      <c r="A20" s="98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2.75">
      <c r="A21" s="98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2.75">
      <c r="A22" s="99" t="s">
        <v>319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2.75">
      <c r="A23" s="98" t="s">
        <v>320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2.75">
      <c r="A24" s="97">
        <f>(Qa+Qp)/Qp</f>
        <v>19.97972326021052</v>
      </c>
      <c r="B24" s="37" t="s">
        <v>5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2.75">
      <c r="A25" s="98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2.75">
      <c r="A26" s="98" t="s">
        <v>321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2.75">
      <c r="A27" s="100">
        <f>Dv*Sd*W</f>
        <v>138577.28609721706</v>
      </c>
      <c r="B27" s="37" t="s">
        <v>322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.75">
      <c r="A28" s="98">
        <f>+Dv</f>
        <v>60</v>
      </c>
      <c r="B28" s="37" t="s">
        <v>313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2.75">
      <c r="A29" s="98">
        <f>+Sd</f>
        <v>15.605550236173093</v>
      </c>
      <c r="B29" s="37" t="s">
        <v>323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2.75">
      <c r="A30" s="110">
        <f>'Soil properties &amp; QC'!A13</f>
        <v>148</v>
      </c>
      <c r="B30" s="37" t="s">
        <v>324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.75">
      <c r="A31" s="98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2.75">
      <c r="A32" s="98" t="s">
        <v>325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2.75">
      <c r="A33" s="98">
        <f>I*A</f>
        <v>7301.333333333333</v>
      </c>
      <c r="B33" s="37" t="s">
        <v>326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2.75">
      <c r="A34" s="98">
        <f>+I</f>
        <v>0.3333333333333333</v>
      </c>
      <c r="B34" s="37" t="s">
        <v>327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98">
        <f>+L*W</f>
        <v>21904</v>
      </c>
      <c r="B35" s="37" t="s">
        <v>328</v>
      </c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98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2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2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1" ht="12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12.75">
      <c r="A40" s="37" t="s">
        <v>329</v>
      </c>
      <c r="B40" s="37"/>
      <c r="C40" s="121">
        <f>'Dom DAF'!C47</f>
        <v>141.15701186305907</v>
      </c>
      <c r="D40" s="37"/>
      <c r="E40" s="37"/>
      <c r="F40" s="37"/>
      <c r="G40" s="37"/>
      <c r="H40" s="37"/>
      <c r="I40" s="37"/>
      <c r="J40" s="37"/>
      <c r="K40" s="37"/>
    </row>
    <row r="41" spans="1:11" ht="12.75">
      <c r="A41" s="37" t="s">
        <v>330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</sheetData>
  <sheetProtection password="C596" sheet="1" objects="1" scenarios="1"/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&amp;CLDEQ RECAP
WORKSHEET I7
SUMMER'S DAF</oddHeader>
    <oddFooter>&amp;CWI7 -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8" customWidth="1"/>
    <col min="2" max="2" width="12.7109375" style="8" customWidth="1"/>
    <col min="3" max="16384" width="9.140625" style="8" customWidth="1"/>
  </cols>
  <sheetData>
    <row r="1" spans="1:9" ht="13.5">
      <c r="A1" s="191" t="s">
        <v>463</v>
      </c>
      <c r="B1" s="189"/>
      <c r="C1" s="189"/>
      <c r="D1" s="128"/>
      <c r="E1" s="128"/>
      <c r="F1" s="129" t="s">
        <v>462</v>
      </c>
      <c r="G1" s="128"/>
      <c r="H1" s="128"/>
      <c r="I1" s="128"/>
    </row>
    <row r="2" spans="1:9" ht="13.5">
      <c r="A2" s="192" t="str">
        <f>Soilni!A2</f>
        <v>Revision Date: 08/04/2003</v>
      </c>
      <c r="B2" s="189"/>
      <c r="C2" s="189"/>
      <c r="D2" s="130"/>
      <c r="E2" s="131"/>
      <c r="F2" s="128"/>
      <c r="G2" s="128"/>
      <c r="H2" s="128"/>
      <c r="I2" s="128"/>
    </row>
    <row r="3" spans="1:9" ht="13.5">
      <c r="A3" s="192" t="str">
        <f>Soilni!B2</f>
        <v>Run date:</v>
      </c>
      <c r="B3" s="193">
        <f>Soilni!C2</f>
        <v>37932</v>
      </c>
      <c r="C3" s="189"/>
      <c r="D3" s="128"/>
      <c r="E3" s="128"/>
      <c r="F3" s="128"/>
      <c r="G3" s="128"/>
      <c r="H3" s="128"/>
      <c r="I3" s="128"/>
    </row>
    <row r="4" spans="1:9" ht="13.5">
      <c r="A4" s="192"/>
      <c r="B4" s="193"/>
      <c r="C4" s="189"/>
      <c r="D4" s="128"/>
      <c r="E4" s="128"/>
      <c r="F4" s="128"/>
      <c r="G4" s="128"/>
      <c r="H4" s="128"/>
      <c r="I4" s="128"/>
    </row>
    <row r="5" spans="1:9" ht="13.5">
      <c r="A5" s="132"/>
      <c r="B5" s="128"/>
      <c r="C5" s="128"/>
      <c r="D5" s="128"/>
      <c r="E5" s="128"/>
      <c r="F5" s="128"/>
      <c r="G5" s="128"/>
      <c r="H5" s="128"/>
      <c r="I5" s="128"/>
    </row>
    <row r="6" spans="1:9" ht="13.5">
      <c r="A6" s="128" t="s">
        <v>396</v>
      </c>
      <c r="B6" s="128"/>
      <c r="C6" s="128"/>
      <c r="D6" s="128"/>
      <c r="E6" s="128"/>
      <c r="F6" s="128"/>
      <c r="G6" s="128"/>
      <c r="H6" s="128"/>
      <c r="I6" s="128"/>
    </row>
    <row r="7" spans="1:9" ht="13.5">
      <c r="A7" s="133" t="s">
        <v>464</v>
      </c>
      <c r="B7" s="128"/>
      <c r="C7" s="128"/>
      <c r="D7" s="128"/>
      <c r="E7" s="128"/>
      <c r="F7" s="128"/>
      <c r="G7" s="128"/>
      <c r="H7" s="128"/>
      <c r="I7" s="128"/>
    </row>
    <row r="8" spans="1:9" ht="13.5">
      <c r="A8" s="133" t="s">
        <v>465</v>
      </c>
      <c r="B8" s="128"/>
      <c r="C8" s="128"/>
      <c r="D8" s="128"/>
      <c r="E8" s="128"/>
      <c r="F8" s="128"/>
      <c r="G8" s="128"/>
      <c r="H8" s="128"/>
      <c r="I8" s="128"/>
    </row>
    <row r="9" spans="1:9" ht="13.5">
      <c r="A9" s="133" t="s">
        <v>466</v>
      </c>
      <c r="B9" s="128"/>
      <c r="C9" s="128"/>
      <c r="D9" s="128"/>
      <c r="E9" s="128"/>
      <c r="F9" s="128"/>
      <c r="G9" s="128"/>
      <c r="H9" s="128"/>
      <c r="I9" s="128"/>
    </row>
    <row r="10" spans="1:9" ht="13.5">
      <c r="A10" s="133" t="s">
        <v>467</v>
      </c>
      <c r="B10" s="128"/>
      <c r="C10" s="128"/>
      <c r="D10" s="128"/>
      <c r="E10" s="128"/>
      <c r="F10" s="128"/>
      <c r="G10" s="128"/>
      <c r="H10" s="128"/>
      <c r="I10" s="128"/>
    </row>
    <row r="11" spans="1:9" ht="13.5">
      <c r="A11" s="133" t="s">
        <v>468</v>
      </c>
      <c r="B11" s="128"/>
      <c r="C11" s="128"/>
      <c r="D11" s="128"/>
      <c r="E11" s="128"/>
      <c r="F11" s="128"/>
      <c r="G11" s="128"/>
      <c r="H11" s="128"/>
      <c r="I11" s="128"/>
    </row>
    <row r="12" spans="1:9" ht="13.5">
      <c r="A12" s="133" t="s">
        <v>469</v>
      </c>
      <c r="B12" s="128"/>
      <c r="C12" s="128"/>
      <c r="D12" s="128"/>
      <c r="E12" s="128"/>
      <c r="F12" s="128"/>
      <c r="G12" s="128"/>
      <c r="H12" s="128"/>
      <c r="I12" s="128"/>
    </row>
    <row r="13" spans="1:9" ht="13.5">
      <c r="A13" s="132" t="s">
        <v>470</v>
      </c>
      <c r="B13" s="128"/>
      <c r="C13" s="128"/>
      <c r="D13" s="128"/>
      <c r="E13" s="128"/>
      <c r="F13" s="128"/>
      <c r="G13" s="128"/>
      <c r="H13" s="128"/>
      <c r="I13" s="128"/>
    </row>
    <row r="14" spans="1:9" ht="13.5">
      <c r="A14" s="133" t="s">
        <v>475</v>
      </c>
      <c r="B14" s="128"/>
      <c r="C14" s="128"/>
      <c r="D14" s="128"/>
      <c r="E14" s="128"/>
      <c r="F14" s="128"/>
      <c r="G14" s="128"/>
      <c r="H14" s="128"/>
      <c r="I14" s="128"/>
    </row>
    <row r="15" spans="1:9" ht="13.5">
      <c r="A15" s="133" t="s">
        <v>474</v>
      </c>
      <c r="B15" s="128"/>
      <c r="C15" s="128"/>
      <c r="D15" s="128"/>
      <c r="E15" s="128"/>
      <c r="F15" s="128"/>
      <c r="G15" s="128"/>
      <c r="H15" s="128"/>
      <c r="I15" s="128"/>
    </row>
    <row r="16" spans="1:9" ht="13.5">
      <c r="A16" s="133" t="s">
        <v>473</v>
      </c>
      <c r="B16" s="128"/>
      <c r="C16" s="128"/>
      <c r="D16" s="128"/>
      <c r="E16" s="128"/>
      <c r="F16" s="128"/>
      <c r="G16" s="128"/>
      <c r="H16" s="128"/>
      <c r="I16" s="128"/>
    </row>
    <row r="17" spans="1:9" ht="13.5">
      <c r="A17" s="133" t="s">
        <v>472</v>
      </c>
      <c r="B17" s="128"/>
      <c r="C17" s="128"/>
      <c r="D17" s="128"/>
      <c r="E17" s="128"/>
      <c r="F17" s="128"/>
      <c r="G17" s="128"/>
      <c r="H17" s="128"/>
      <c r="I17" s="128"/>
    </row>
    <row r="18" spans="1:9" ht="13.5">
      <c r="A18" s="128" t="s">
        <v>471</v>
      </c>
      <c r="B18" s="128"/>
      <c r="C18" s="128"/>
      <c r="D18" s="128"/>
      <c r="E18" s="128"/>
      <c r="F18" s="128"/>
      <c r="G18" s="128"/>
      <c r="H18" s="128"/>
      <c r="I18" s="128"/>
    </row>
    <row r="19" spans="1:9" ht="13.5">
      <c r="A19" s="133" t="s">
        <v>397</v>
      </c>
      <c r="B19" s="133"/>
      <c r="C19" s="128"/>
      <c r="D19" s="128"/>
      <c r="E19" s="128"/>
      <c r="F19" s="128"/>
      <c r="G19" s="128"/>
      <c r="H19" s="128"/>
      <c r="I19" s="128"/>
    </row>
    <row r="20" spans="1:9" ht="13.5">
      <c r="A20" s="133" t="s">
        <v>398</v>
      </c>
      <c r="B20" s="133"/>
      <c r="C20" s="128"/>
      <c r="D20" s="128"/>
      <c r="E20" s="128"/>
      <c r="F20" s="128"/>
      <c r="G20" s="128"/>
      <c r="H20" s="128"/>
      <c r="I20" s="128"/>
    </row>
    <row r="21" spans="1:9" ht="13.5">
      <c r="A21" s="188"/>
      <c r="B21" s="128"/>
      <c r="C21" s="128"/>
      <c r="D21" s="128"/>
      <c r="E21" s="128"/>
      <c r="F21" s="128"/>
      <c r="G21" s="128"/>
      <c r="H21" s="128"/>
      <c r="I21" s="128"/>
    </row>
    <row r="22" spans="1:9" ht="13.5">
      <c r="A22" s="127" t="s">
        <v>476</v>
      </c>
      <c r="B22" s="128"/>
      <c r="C22" s="128"/>
      <c r="D22" s="128"/>
      <c r="E22" s="128"/>
      <c r="F22" s="128"/>
      <c r="G22" s="128"/>
      <c r="H22" s="128"/>
      <c r="I22" s="128"/>
    </row>
    <row r="23" spans="1:9" ht="13.5">
      <c r="A23" s="128"/>
      <c r="B23" s="128"/>
      <c r="C23" s="128"/>
      <c r="D23" s="128"/>
      <c r="E23" s="128"/>
      <c r="F23" s="128"/>
      <c r="G23" s="128"/>
      <c r="H23" s="128"/>
      <c r="I23" s="128"/>
    </row>
    <row r="24" spans="1:9" ht="13.5">
      <c r="A24" s="133" t="s">
        <v>399</v>
      </c>
      <c r="B24" s="128"/>
      <c r="C24" s="128"/>
      <c r="D24" s="128"/>
      <c r="E24" s="128"/>
      <c r="F24" s="128"/>
      <c r="G24" s="128"/>
      <c r="H24" s="128"/>
      <c r="I24" s="128"/>
    </row>
    <row r="25" spans="1:9" ht="13.5">
      <c r="A25" s="134">
        <v>2000</v>
      </c>
      <c r="B25" s="133" t="s">
        <v>479</v>
      </c>
      <c r="C25" s="128"/>
      <c r="D25" s="128"/>
      <c r="E25" s="128"/>
      <c r="F25" s="128"/>
      <c r="G25" s="128"/>
      <c r="H25" s="128"/>
      <c r="I25" s="128"/>
    </row>
    <row r="26" spans="1:9" ht="13.5">
      <c r="A26" s="134">
        <v>15.6</v>
      </c>
      <c r="B26" s="133" t="s">
        <v>400</v>
      </c>
      <c r="C26" s="128"/>
      <c r="D26" s="128"/>
      <c r="E26" s="128"/>
      <c r="F26" s="128"/>
      <c r="G26" s="128"/>
      <c r="H26" s="128"/>
      <c r="I26" s="128"/>
    </row>
    <row r="27" spans="1:9" ht="13.5">
      <c r="A27" s="128"/>
      <c r="B27" s="133" t="s">
        <v>478</v>
      </c>
      <c r="C27" s="128"/>
      <c r="D27" s="128"/>
      <c r="E27" s="128"/>
      <c r="F27" s="128"/>
      <c r="G27" s="128"/>
      <c r="H27" s="128"/>
      <c r="I27" s="128"/>
    </row>
    <row r="28" spans="1:9" ht="13.5">
      <c r="A28" s="128"/>
      <c r="B28" s="133" t="s">
        <v>488</v>
      </c>
      <c r="C28" s="128"/>
      <c r="D28" s="128"/>
      <c r="E28" s="128"/>
      <c r="F28" s="128"/>
      <c r="G28" s="128"/>
      <c r="H28" s="128"/>
      <c r="I28" s="128"/>
    </row>
    <row r="29" spans="1:9" ht="13.5">
      <c r="A29" s="189">
        <f>'Soil properties &amp; QC'!A13</f>
        <v>148</v>
      </c>
      <c r="B29" s="133" t="s">
        <v>401</v>
      </c>
      <c r="C29" s="128"/>
      <c r="D29" s="128"/>
      <c r="E29" s="128"/>
      <c r="F29" s="128"/>
      <c r="G29" s="128"/>
      <c r="H29" s="128"/>
      <c r="I29" s="128"/>
    </row>
    <row r="30" spans="1:9" ht="13.5">
      <c r="A30" s="128"/>
      <c r="B30" s="133"/>
      <c r="C30" s="128" t="s">
        <v>497</v>
      </c>
      <c r="D30" s="128"/>
      <c r="E30" s="128"/>
      <c r="F30" s="128"/>
      <c r="G30" s="128"/>
      <c r="H30" s="128"/>
      <c r="I30" s="128"/>
    </row>
    <row r="31" spans="1:9" ht="13.5">
      <c r="A31" s="128"/>
      <c r="B31" s="128"/>
      <c r="C31" s="135"/>
      <c r="D31" s="128"/>
      <c r="E31" s="128"/>
      <c r="F31" s="128"/>
      <c r="G31" s="128"/>
      <c r="H31" s="128"/>
      <c r="I31" s="128"/>
    </row>
    <row r="32" spans="1:9" ht="13.5">
      <c r="A32" s="128" t="s">
        <v>402</v>
      </c>
      <c r="B32" s="128"/>
      <c r="C32" s="128"/>
      <c r="D32" s="128"/>
      <c r="E32" s="128"/>
      <c r="F32" s="128"/>
      <c r="G32" s="128"/>
      <c r="H32" s="128"/>
      <c r="I32" s="128"/>
    </row>
    <row r="33" spans="1:9" ht="13.5">
      <c r="A33" s="136">
        <v>60</v>
      </c>
      <c r="B33" s="133" t="s">
        <v>480</v>
      </c>
      <c r="C33" s="128"/>
      <c r="D33" s="128"/>
      <c r="E33" s="128"/>
      <c r="F33" s="128"/>
      <c r="G33" s="128"/>
      <c r="H33" s="128"/>
      <c r="I33" s="128"/>
    </row>
    <row r="34" spans="1:9" ht="13.5">
      <c r="A34" s="134">
        <v>0.36</v>
      </c>
      <c r="B34" s="133" t="s">
        <v>481</v>
      </c>
      <c r="C34" s="128"/>
      <c r="D34" s="128"/>
      <c r="E34" s="128"/>
      <c r="F34" s="128"/>
      <c r="G34" s="128"/>
      <c r="H34" s="128"/>
      <c r="I34" s="128"/>
    </row>
    <row r="35" spans="1:9" ht="13.5">
      <c r="A35" s="128">
        <f>DM1Dv/DM1O</f>
        <v>166.66666666666669</v>
      </c>
      <c r="B35" s="133" t="s">
        <v>482</v>
      </c>
      <c r="C35" s="128"/>
      <c r="D35" s="128"/>
      <c r="E35" s="128"/>
      <c r="F35" s="128"/>
      <c r="G35" s="128"/>
      <c r="H35" s="128"/>
      <c r="I35" s="128"/>
    </row>
    <row r="36" spans="1:9" ht="13.5">
      <c r="A36" s="128"/>
      <c r="B36" s="128"/>
      <c r="C36" s="128"/>
      <c r="D36" s="128"/>
      <c r="E36" s="128"/>
      <c r="F36" s="128"/>
      <c r="G36" s="128"/>
      <c r="H36" s="128"/>
      <c r="I36" s="128"/>
    </row>
    <row r="37" spans="1:9" ht="13.5">
      <c r="A37" s="128">
        <f>DM1X*0.1</f>
        <v>200</v>
      </c>
      <c r="B37" s="133" t="s">
        <v>483</v>
      </c>
      <c r="C37" s="128"/>
      <c r="D37" s="128"/>
      <c r="E37" s="128"/>
      <c r="F37" s="128"/>
      <c r="G37" s="128"/>
      <c r="H37" s="128"/>
      <c r="I37" s="128"/>
    </row>
    <row r="38" spans="1:9" ht="13.5">
      <c r="A38" s="128">
        <f>DM1Ax/3</f>
        <v>66.66666666666667</v>
      </c>
      <c r="B38" s="133" t="s">
        <v>484</v>
      </c>
      <c r="C38" s="128"/>
      <c r="D38" s="128"/>
      <c r="E38" s="128"/>
      <c r="F38" s="128"/>
      <c r="G38" s="128"/>
      <c r="H38" s="128"/>
      <c r="I38" s="128"/>
    </row>
    <row r="39" spans="1:9" ht="13.5">
      <c r="A39" s="128">
        <f>DM1Ax/20</f>
        <v>10</v>
      </c>
      <c r="B39" s="133" t="s">
        <v>485</v>
      </c>
      <c r="C39" s="128"/>
      <c r="D39" s="128"/>
      <c r="E39" s="128"/>
      <c r="F39" s="128"/>
      <c r="G39" s="128"/>
      <c r="H39" s="128"/>
      <c r="I39" s="128"/>
    </row>
    <row r="40" spans="1:9" ht="13.5">
      <c r="A40" s="128"/>
      <c r="B40" s="128"/>
      <c r="C40" s="128"/>
      <c r="D40" s="128"/>
      <c r="E40" s="128"/>
      <c r="F40" s="128"/>
      <c r="G40" s="128"/>
      <c r="H40" s="128"/>
      <c r="I40" s="128"/>
    </row>
    <row r="41" spans="1:9" ht="13.5">
      <c r="A41" s="128">
        <v>1</v>
      </c>
      <c r="B41" s="133" t="s">
        <v>487</v>
      </c>
      <c r="C41" s="128"/>
      <c r="D41" s="128"/>
      <c r="E41" s="133"/>
      <c r="F41" s="128"/>
      <c r="G41" s="128"/>
      <c r="H41" s="128"/>
      <c r="I41" s="128"/>
    </row>
    <row r="42" spans="1:9" ht="13.5">
      <c r="A42" s="128">
        <v>0</v>
      </c>
      <c r="B42" s="133" t="s">
        <v>486</v>
      </c>
      <c r="C42" s="128"/>
      <c r="D42" s="128"/>
      <c r="E42" s="128"/>
      <c r="F42" s="128"/>
      <c r="G42" s="128"/>
      <c r="H42" s="128"/>
      <c r="I42" s="128"/>
    </row>
    <row r="43" spans="1:9" ht="13.5">
      <c r="A43" s="128"/>
      <c r="B43" s="128"/>
      <c r="C43" s="128"/>
      <c r="D43" s="128"/>
      <c r="E43" s="128"/>
      <c r="F43" s="128"/>
      <c r="G43" s="128"/>
      <c r="H43" s="128"/>
      <c r="I43" s="128"/>
    </row>
    <row r="44" spans="1:9" ht="13.5">
      <c r="A44" s="133" t="s">
        <v>403</v>
      </c>
      <c r="B44" s="128"/>
      <c r="C44" s="135"/>
      <c r="D44" s="128"/>
      <c r="E44" s="128"/>
      <c r="F44" s="128"/>
      <c r="G44" s="128"/>
      <c r="H44" s="128"/>
      <c r="I44" s="128"/>
    </row>
    <row r="45" spans="1:9" ht="13.5">
      <c r="A45" s="132" t="s">
        <v>404</v>
      </c>
      <c r="B45" s="128"/>
      <c r="C45" s="135" t="s">
        <v>405</v>
      </c>
      <c r="D45" s="128"/>
      <c r="E45" s="128"/>
      <c r="F45" s="128"/>
      <c r="G45" s="128"/>
      <c r="H45" s="128"/>
      <c r="I45" s="128"/>
    </row>
    <row r="46" spans="1:9" ht="13.5">
      <c r="A46" s="128"/>
      <c r="B46" s="128"/>
      <c r="C46" s="135" t="s">
        <v>406</v>
      </c>
      <c r="D46" s="128"/>
      <c r="E46" s="128"/>
      <c r="F46" s="128"/>
      <c r="G46" s="128"/>
      <c r="H46" s="128"/>
      <c r="I46" s="128"/>
    </row>
    <row r="47" spans="1:9" ht="13.5">
      <c r="A47" s="128"/>
      <c r="B47" s="133" t="s">
        <v>407</v>
      </c>
      <c r="C47" s="190">
        <f>1/((EXP((DM1X/(2*DM1Ax))*(1-(SQRT(1+(4*DM1Yi*DM1Ax*DM1Ri/DM1v))))))*(ERF(DM1Sw/(4*(SQRT(DM1Ay*DM1X)))))*(ERF(DM1Sd/(2*(SQRT(DM1Az*DM1X))))))</f>
        <v>141.15701186305907</v>
      </c>
      <c r="D47" s="133" t="s">
        <v>408</v>
      </c>
      <c r="E47" s="128"/>
      <c r="F47" s="128"/>
      <c r="G47" s="128"/>
      <c r="H47" s="128"/>
      <c r="I47" s="128"/>
    </row>
    <row r="48" spans="1:9" ht="13.5">
      <c r="A48" s="128"/>
      <c r="B48" s="128"/>
      <c r="C48" s="133"/>
      <c r="D48" s="128"/>
      <c r="E48" s="128"/>
      <c r="F48" s="128"/>
      <c r="G48" s="128"/>
      <c r="H48" s="128"/>
      <c r="I48" s="128"/>
    </row>
    <row r="49" spans="1:9" ht="13.5">
      <c r="A49" s="128"/>
      <c r="B49" s="128"/>
      <c r="C49" s="128"/>
      <c r="D49" s="128"/>
      <c r="E49" s="128"/>
      <c r="F49" s="128"/>
      <c r="G49" s="128"/>
      <c r="H49" s="128"/>
      <c r="I49" s="128"/>
    </row>
    <row r="50" spans="1:9" ht="13.5">
      <c r="A50" s="128"/>
      <c r="B50" s="128"/>
      <c r="C50" s="128"/>
      <c r="D50" s="128"/>
      <c r="E50" s="133" t="s">
        <v>498</v>
      </c>
      <c r="F50" s="128"/>
      <c r="G50" s="128"/>
      <c r="H50" s="128"/>
      <c r="I50" s="128"/>
    </row>
    <row r="51" spans="1:9" ht="13.5">
      <c r="A51" s="133" t="s">
        <v>409</v>
      </c>
      <c r="B51" s="128"/>
      <c r="C51" s="128"/>
      <c r="D51" s="128"/>
      <c r="E51" s="133" t="s">
        <v>408</v>
      </c>
      <c r="F51" s="128"/>
      <c r="G51" s="133"/>
      <c r="H51" s="128"/>
      <c r="I51" s="128"/>
    </row>
    <row r="52" spans="1:9" ht="13.5">
      <c r="A52" s="133" t="s">
        <v>410</v>
      </c>
      <c r="B52" s="128"/>
      <c r="C52" s="137" t="s">
        <v>477</v>
      </c>
      <c r="D52" s="137" t="s">
        <v>411</v>
      </c>
      <c r="E52" s="137" t="s">
        <v>412</v>
      </c>
      <c r="F52" s="137" t="s">
        <v>413</v>
      </c>
      <c r="G52" s="138" t="s">
        <v>414</v>
      </c>
      <c r="H52" s="128"/>
      <c r="I52" s="128"/>
    </row>
    <row r="53" spans="1:9" ht="13.5">
      <c r="A53" s="133" t="s">
        <v>415</v>
      </c>
      <c r="B53" s="128"/>
      <c r="C53" s="137" t="s">
        <v>416</v>
      </c>
      <c r="D53" s="137" t="s">
        <v>417</v>
      </c>
      <c r="E53" s="137" t="s">
        <v>418</v>
      </c>
      <c r="F53" s="137" t="s">
        <v>419</v>
      </c>
      <c r="G53" s="138" t="s">
        <v>420</v>
      </c>
      <c r="H53" s="137"/>
      <c r="I53" s="128"/>
    </row>
    <row r="54" spans="1:9" ht="13.5">
      <c r="A54" s="133" t="s">
        <v>421</v>
      </c>
      <c r="B54" s="128"/>
      <c r="C54" s="137"/>
      <c r="D54" s="137">
        <v>2.8</v>
      </c>
      <c r="E54" s="137">
        <v>1.2</v>
      </c>
      <c r="F54" s="139">
        <v>1</v>
      </c>
      <c r="G54" s="140">
        <v>1</v>
      </c>
      <c r="H54" s="128"/>
      <c r="I54" s="128"/>
    </row>
    <row r="55" spans="1:9" ht="13.5">
      <c r="A55" s="133" t="s">
        <v>422</v>
      </c>
      <c r="B55" s="128"/>
      <c r="C55" s="137"/>
      <c r="D55" s="137">
        <v>9.1</v>
      </c>
      <c r="E55" s="137">
        <v>2.5</v>
      </c>
      <c r="F55" s="137">
        <v>1.5</v>
      </c>
      <c r="G55" s="138">
        <v>1.1</v>
      </c>
      <c r="H55" s="128"/>
      <c r="I55" s="128"/>
    </row>
    <row r="56" spans="1:9" ht="13.5">
      <c r="A56" s="133" t="s">
        <v>423</v>
      </c>
      <c r="B56" s="128"/>
      <c r="C56" s="137"/>
      <c r="D56" s="137">
        <v>20</v>
      </c>
      <c r="E56" s="137">
        <v>4.7</v>
      </c>
      <c r="F56" s="137">
        <v>2.4</v>
      </c>
      <c r="G56" s="138">
        <v>1.5</v>
      </c>
      <c r="H56" s="128"/>
      <c r="I56" s="128"/>
    </row>
    <row r="57" spans="1:9" ht="13.5">
      <c r="A57" s="133" t="s">
        <v>424</v>
      </c>
      <c r="B57" s="128"/>
      <c r="C57" s="128"/>
      <c r="D57" s="128">
        <v>53</v>
      </c>
      <c r="E57" s="128">
        <v>12</v>
      </c>
      <c r="F57" s="128">
        <v>5.5</v>
      </c>
      <c r="G57" s="137">
        <v>2.9</v>
      </c>
      <c r="H57" s="128"/>
      <c r="I57" s="128"/>
    </row>
    <row r="58" spans="1:9" ht="13.5">
      <c r="A58" s="133" t="s">
        <v>425</v>
      </c>
      <c r="B58" s="128"/>
      <c r="C58" s="128"/>
      <c r="D58" s="128">
        <v>212</v>
      </c>
      <c r="E58" s="128">
        <v>46</v>
      </c>
      <c r="F58" s="128">
        <v>20</v>
      </c>
      <c r="G58" s="128">
        <v>9.4</v>
      </c>
      <c r="H58" s="128"/>
      <c r="I58" s="128"/>
    </row>
    <row r="59" spans="1:9" ht="13.5">
      <c r="A59" s="133" t="s">
        <v>426</v>
      </c>
      <c r="B59" s="133"/>
      <c r="C59" s="128"/>
      <c r="D59" s="128">
        <v>476</v>
      </c>
      <c r="E59" s="128">
        <v>102</v>
      </c>
      <c r="F59" s="128">
        <v>44</v>
      </c>
      <c r="G59" s="128">
        <v>20</v>
      </c>
      <c r="H59" s="128"/>
      <c r="I59" s="128"/>
    </row>
    <row r="60" spans="1:9" ht="13.5">
      <c r="A60" s="141" t="s">
        <v>427</v>
      </c>
      <c r="B60" s="128"/>
      <c r="C60" s="128"/>
      <c r="D60" s="128">
        <v>846</v>
      </c>
      <c r="E60" s="128">
        <v>182</v>
      </c>
      <c r="F60" s="128">
        <v>78</v>
      </c>
      <c r="G60" s="128">
        <v>36</v>
      </c>
      <c r="H60" s="128"/>
      <c r="I60" s="128"/>
    </row>
    <row r="61" spans="1:9" ht="13.5">
      <c r="A61" s="142" t="s">
        <v>428</v>
      </c>
      <c r="B61" s="133"/>
      <c r="C61" s="128"/>
      <c r="D61" s="128">
        <v>1321</v>
      </c>
      <c r="E61" s="128">
        <v>283</v>
      </c>
      <c r="F61" s="128">
        <v>121</v>
      </c>
      <c r="G61" s="128">
        <v>56</v>
      </c>
      <c r="H61" s="128"/>
      <c r="I61" s="128"/>
    </row>
    <row r="62" spans="1:9" ht="13.5">
      <c r="A62" s="142" t="s">
        <v>429</v>
      </c>
      <c r="B62" s="133"/>
      <c r="C62" s="128"/>
      <c r="D62" s="128">
        <v>1902</v>
      </c>
      <c r="E62" s="128">
        <v>408</v>
      </c>
      <c r="F62" s="128">
        <v>174</v>
      </c>
      <c r="G62" s="128">
        <v>80</v>
      </c>
      <c r="H62" s="128"/>
      <c r="I62" s="128"/>
    </row>
    <row r="63" spans="1:9" ht="13.5">
      <c r="A63" s="142" t="s">
        <v>430</v>
      </c>
      <c r="B63" s="128"/>
      <c r="C63" s="128"/>
      <c r="D63" s="128">
        <v>2588</v>
      </c>
      <c r="E63" s="128">
        <v>555</v>
      </c>
      <c r="F63" s="128">
        <v>237</v>
      </c>
      <c r="G63" s="128">
        <v>108</v>
      </c>
      <c r="H63" s="128"/>
      <c r="I63" s="128"/>
    </row>
    <row r="64" spans="1:9" ht="13.5">
      <c r="A64" s="142" t="s">
        <v>431</v>
      </c>
      <c r="B64" s="128"/>
      <c r="C64" s="128"/>
      <c r="D64" s="128">
        <v>3380</v>
      </c>
      <c r="E64" s="128">
        <v>724</v>
      </c>
      <c r="F64" s="128">
        <v>310</v>
      </c>
      <c r="G64" s="128">
        <v>141</v>
      </c>
      <c r="H64" s="128"/>
      <c r="I64" s="128"/>
    </row>
    <row r="65" spans="1:8" ht="12.75">
      <c r="A65" s="37"/>
      <c r="B65" s="37"/>
      <c r="C65" s="37"/>
      <c r="D65" s="37"/>
      <c r="E65" s="37"/>
      <c r="F65" s="37"/>
      <c r="G65" s="37"/>
      <c r="H65" s="37"/>
    </row>
    <row r="66" spans="1:8" ht="12.75">
      <c r="A66" s="37"/>
      <c r="B66" s="37"/>
      <c r="C66" s="37"/>
      <c r="D66" s="37"/>
      <c r="E66" s="37"/>
      <c r="F66" s="37"/>
      <c r="G66" s="37"/>
      <c r="H66" s="37"/>
    </row>
    <row r="67" spans="1:8" ht="12.75">
      <c r="A67" s="37"/>
      <c r="B67" s="37"/>
      <c r="C67" s="37"/>
      <c r="D67" s="37"/>
      <c r="E67" s="37"/>
      <c r="F67" s="37"/>
      <c r="G67" s="37"/>
      <c r="H67" s="37"/>
    </row>
    <row r="68" spans="1:8" ht="12.75">
      <c r="A68" s="37"/>
      <c r="B68" s="37"/>
      <c r="C68" s="37"/>
      <c r="D68" s="37"/>
      <c r="E68" s="37"/>
      <c r="F68" s="37"/>
      <c r="G68" s="37"/>
      <c r="H68" s="37"/>
    </row>
    <row r="69" spans="1:8" ht="12.75">
      <c r="A69" s="37"/>
      <c r="B69" s="37"/>
      <c r="C69" s="37"/>
      <c r="D69" s="37"/>
      <c r="E69" s="37"/>
      <c r="F69" s="37"/>
      <c r="G69" s="37"/>
      <c r="H69" s="37"/>
    </row>
    <row r="70" spans="1:8" ht="12.75">
      <c r="A70" s="37"/>
      <c r="B70" s="37"/>
      <c r="C70" s="37"/>
      <c r="D70" s="37"/>
      <c r="E70" s="37"/>
      <c r="F70" s="37"/>
      <c r="G70" s="37"/>
      <c r="H70" s="37"/>
    </row>
    <row r="71" spans="1:8" ht="12.75">
      <c r="A71" s="37"/>
      <c r="B71" s="37"/>
      <c r="C71" s="37"/>
      <c r="D71" s="37"/>
      <c r="E71" s="37"/>
      <c r="F71" s="37"/>
      <c r="G71" s="37"/>
      <c r="H71" s="37"/>
    </row>
    <row r="72" spans="1:8" ht="12.75">
      <c r="A72" s="37"/>
      <c r="B72" s="37"/>
      <c r="C72" s="37"/>
      <c r="D72" s="37"/>
      <c r="E72" s="37"/>
      <c r="F72" s="37"/>
      <c r="G72" s="37"/>
      <c r="H72" s="37"/>
    </row>
    <row r="73" spans="1:8" ht="12.75">
      <c r="A73" s="37"/>
      <c r="B73" s="37"/>
      <c r="C73" s="37"/>
      <c r="D73" s="37"/>
      <c r="E73" s="37"/>
      <c r="F73" s="37"/>
      <c r="G73" s="37"/>
      <c r="H73" s="37"/>
    </row>
    <row r="74" spans="1:8" ht="12.75">
      <c r="A74" s="37"/>
      <c r="B74" s="37"/>
      <c r="C74" s="37"/>
      <c r="D74" s="37"/>
      <c r="E74" s="37"/>
      <c r="F74" s="37"/>
      <c r="G74" s="37"/>
      <c r="H74" s="37"/>
    </row>
    <row r="75" spans="1:8" ht="12.75">
      <c r="A75" s="37"/>
      <c r="B75" s="37"/>
      <c r="C75" s="37"/>
      <c r="D75" s="37"/>
      <c r="E75" s="37"/>
      <c r="F75" s="37"/>
      <c r="G75" s="37"/>
      <c r="H75" s="37"/>
    </row>
    <row r="76" spans="1:8" ht="12.75">
      <c r="A76" s="37"/>
      <c r="B76" s="37"/>
      <c r="C76" s="37"/>
      <c r="D76" s="37"/>
      <c r="E76" s="37"/>
      <c r="F76" s="37"/>
      <c r="G76" s="37"/>
      <c r="H76" s="37"/>
    </row>
    <row r="77" spans="1:8" ht="12.75">
      <c r="A77" s="37"/>
      <c r="B77" s="37"/>
      <c r="C77" s="37"/>
      <c r="D77" s="37"/>
      <c r="E77" s="37"/>
      <c r="F77" s="37"/>
      <c r="G77" s="37"/>
      <c r="H77" s="37"/>
    </row>
    <row r="78" spans="1:8" ht="12.75">
      <c r="A78" s="37"/>
      <c r="B78" s="37"/>
      <c r="C78" s="37"/>
      <c r="D78" s="37"/>
      <c r="E78" s="37"/>
      <c r="F78" s="37"/>
      <c r="G78" s="37"/>
      <c r="H78" s="37"/>
    </row>
    <row r="79" spans="1:8" ht="12.75">
      <c r="A79" s="37"/>
      <c r="B79" s="37"/>
      <c r="C79" s="37"/>
      <c r="D79" s="37"/>
      <c r="E79" s="37"/>
      <c r="F79" s="37"/>
      <c r="G79" s="37"/>
      <c r="H79" s="37"/>
    </row>
    <row r="80" spans="1:8" ht="12.75">
      <c r="A80" s="37"/>
      <c r="B80" s="37"/>
      <c r="C80" s="37"/>
      <c r="D80" s="37"/>
      <c r="E80" s="37"/>
      <c r="F80" s="37"/>
      <c r="G80" s="37"/>
      <c r="H80" s="37"/>
    </row>
    <row r="81" spans="1:8" ht="12.75">
      <c r="A81" s="37"/>
      <c r="B81" s="37"/>
      <c r="C81" s="37"/>
      <c r="D81" s="37"/>
      <c r="E81" s="37"/>
      <c r="F81" s="37"/>
      <c r="G81" s="37"/>
      <c r="H81" s="37"/>
    </row>
    <row r="82" spans="1:8" ht="12.75">
      <c r="A82" s="37"/>
      <c r="B82" s="37"/>
      <c r="C82" s="37"/>
      <c r="D82" s="37"/>
      <c r="E82" s="37"/>
      <c r="F82" s="37"/>
      <c r="G82" s="37"/>
      <c r="H82" s="37"/>
    </row>
    <row r="83" spans="1:8" ht="12.75">
      <c r="A83" s="37"/>
      <c r="B83" s="37"/>
      <c r="C83" s="37"/>
      <c r="D83" s="37"/>
      <c r="E83" s="37"/>
      <c r="F83" s="37"/>
      <c r="G83" s="37"/>
      <c r="H83" s="37"/>
    </row>
    <row r="84" spans="1:8" ht="12.75">
      <c r="A84" s="37"/>
      <c r="B84" s="37"/>
      <c r="C84" s="37"/>
      <c r="D84" s="37"/>
      <c r="E84" s="37"/>
      <c r="F84" s="37"/>
      <c r="G84" s="37"/>
      <c r="H84" s="37"/>
    </row>
    <row r="85" spans="1:8" ht="12.75">
      <c r="A85" s="37"/>
      <c r="B85" s="37"/>
      <c r="C85" s="37"/>
      <c r="D85" s="37"/>
      <c r="E85" s="37"/>
      <c r="F85" s="37"/>
      <c r="G85" s="37"/>
      <c r="H85" s="37"/>
    </row>
    <row r="86" spans="1:8" ht="12.75">
      <c r="A86" s="37"/>
      <c r="B86" s="37"/>
      <c r="C86" s="37"/>
      <c r="D86" s="37"/>
      <c r="E86" s="37"/>
      <c r="F86" s="37"/>
      <c r="G86" s="37"/>
      <c r="H86" s="37"/>
    </row>
    <row r="87" spans="1:8" ht="12.75">
      <c r="A87" s="37"/>
      <c r="B87" s="37"/>
      <c r="C87" s="37"/>
      <c r="D87" s="37"/>
      <c r="E87" s="37"/>
      <c r="F87" s="37"/>
      <c r="G87" s="37"/>
      <c r="H87" s="37"/>
    </row>
    <row r="88" spans="1:8" ht="12.75">
      <c r="A88" s="37"/>
      <c r="B88" s="37"/>
      <c r="C88" s="37"/>
      <c r="D88" s="37"/>
      <c r="E88" s="37"/>
      <c r="F88" s="37"/>
      <c r="G88" s="37"/>
      <c r="H88" s="37"/>
    </row>
  </sheetData>
  <sheetProtection password="C596" sheet="1" objects="1" scenarios="1"/>
  <printOptions gridLines="1" horizontalCentered="1"/>
  <pageMargins left="0.75" right="0.75" top="1.5" bottom="0.75" header="0.5" footer="0.5"/>
  <pageSetup horizontalDpi="300" verticalDpi="300" orientation="portrait" r:id="rId1"/>
  <headerFooter alignWithMargins="0">
    <oddHeader>&amp;CLDEQ RECAP
WORKSHEET I8
DOMENICO DAF</oddHeader>
    <oddFooter>&amp;CWI8 -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37" customWidth="1"/>
    <col min="2" max="2" width="10.00390625" style="37" customWidth="1"/>
    <col min="3" max="16384" width="7.8515625" style="37" customWidth="1"/>
  </cols>
  <sheetData>
    <row r="1" ht="12.75">
      <c r="A1" s="37" t="s">
        <v>102</v>
      </c>
    </row>
    <row r="2" ht="12.75">
      <c r="A2" s="37" t="s">
        <v>394</v>
      </c>
    </row>
    <row r="3" ht="12.75">
      <c r="A3" s="82" t="s">
        <v>103</v>
      </c>
    </row>
    <row r="5" ht="12.75">
      <c r="A5" s="83" t="s">
        <v>104</v>
      </c>
    </row>
    <row r="6" spans="1:3" ht="12.75">
      <c r="A6" s="84">
        <v>1E-06</v>
      </c>
      <c r="B6" s="37" t="s">
        <v>5</v>
      </c>
      <c r="C6" s="37" t="s">
        <v>105</v>
      </c>
    </row>
    <row r="7" spans="1:3" ht="12.75">
      <c r="A7" s="37">
        <v>1</v>
      </c>
      <c r="B7" s="37" t="s">
        <v>5</v>
      </c>
      <c r="C7" s="37" t="s">
        <v>106</v>
      </c>
    </row>
    <row r="9" spans="1:3" ht="12.75">
      <c r="A9" s="37">
        <v>70</v>
      </c>
      <c r="B9" s="37" t="s">
        <v>107</v>
      </c>
      <c r="C9" s="83" t="s">
        <v>108</v>
      </c>
    </row>
    <row r="10" spans="1:3" ht="12.75">
      <c r="A10" s="37">
        <v>25</v>
      </c>
      <c r="B10" s="37" t="s">
        <v>107</v>
      </c>
      <c r="C10" s="85" t="s">
        <v>109</v>
      </c>
    </row>
    <row r="11" spans="1:3" ht="12.75">
      <c r="A11" s="37">
        <v>30</v>
      </c>
      <c r="B11" s="37" t="s">
        <v>107</v>
      </c>
      <c r="C11" s="37" t="s">
        <v>110</v>
      </c>
    </row>
    <row r="12" spans="1:3" ht="12.75">
      <c r="A12" s="37">
        <v>6</v>
      </c>
      <c r="B12" s="37" t="s">
        <v>107</v>
      </c>
      <c r="C12" s="37" t="s">
        <v>111</v>
      </c>
    </row>
    <row r="14" spans="1:3" ht="12.75">
      <c r="A14" s="37">
        <v>350</v>
      </c>
      <c r="B14" s="83" t="s">
        <v>112</v>
      </c>
      <c r="C14" s="83" t="s">
        <v>113</v>
      </c>
    </row>
    <row r="15" spans="1:3" ht="12.75">
      <c r="A15" s="37">
        <v>250</v>
      </c>
      <c r="B15" s="83" t="s">
        <v>112</v>
      </c>
      <c r="C15" s="83" t="s">
        <v>114</v>
      </c>
    </row>
    <row r="17" spans="1:3" ht="12.75">
      <c r="A17" s="37">
        <v>30</v>
      </c>
      <c r="B17" s="37" t="s">
        <v>107</v>
      </c>
      <c r="C17" s="37" t="s">
        <v>115</v>
      </c>
    </row>
    <row r="18" spans="1:3" ht="12.75">
      <c r="A18" s="37">
        <v>25</v>
      </c>
      <c r="B18" s="37" t="s">
        <v>107</v>
      </c>
      <c r="C18" s="37" t="s">
        <v>116</v>
      </c>
    </row>
    <row r="19" spans="1:3" ht="12.75">
      <c r="A19" s="37">
        <v>6</v>
      </c>
      <c r="B19" s="37" t="s">
        <v>107</v>
      </c>
      <c r="C19" s="37" t="s">
        <v>117</v>
      </c>
    </row>
    <row r="21" spans="1:3" ht="12.75">
      <c r="A21" s="84">
        <v>790000000</v>
      </c>
      <c r="B21" s="37" t="s">
        <v>118</v>
      </c>
      <c r="C21" s="37" t="s">
        <v>119</v>
      </c>
    </row>
    <row r="22" spans="1:3" ht="12.75">
      <c r="A22" s="84">
        <f>ATnc*60*60*24*365.25</f>
        <v>189345600</v>
      </c>
      <c r="B22" s="37" t="s">
        <v>118</v>
      </c>
      <c r="C22" s="37" t="s">
        <v>120</v>
      </c>
    </row>
    <row r="23" spans="1:3" ht="12.75">
      <c r="A23" s="84">
        <v>950000000</v>
      </c>
      <c r="B23" s="37" t="s">
        <v>118</v>
      </c>
      <c r="C23" s="37" t="s">
        <v>121</v>
      </c>
    </row>
    <row r="25" spans="1:3" ht="12.75">
      <c r="A25" s="37">
        <v>70</v>
      </c>
      <c r="B25" s="37" t="s">
        <v>122</v>
      </c>
      <c r="C25" s="37" t="s">
        <v>123</v>
      </c>
    </row>
    <row r="26" spans="1:3" ht="12.75">
      <c r="A26" s="37">
        <v>15</v>
      </c>
      <c r="B26" s="37" t="s">
        <v>122</v>
      </c>
      <c r="C26" s="37" t="s">
        <v>124</v>
      </c>
    </row>
    <row r="28" spans="1:3" ht="12.75">
      <c r="A28" s="37">
        <v>114</v>
      </c>
      <c r="B28" s="37" t="s">
        <v>125</v>
      </c>
      <c r="C28" s="37" t="s">
        <v>126</v>
      </c>
    </row>
    <row r="29" spans="1:3" ht="12.75">
      <c r="A29" s="37">
        <v>11</v>
      </c>
      <c r="B29" s="83" t="s">
        <v>127</v>
      </c>
      <c r="C29" s="83" t="s">
        <v>128</v>
      </c>
    </row>
    <row r="30" spans="1:3" ht="12.75">
      <c r="A30" s="37">
        <v>360</v>
      </c>
      <c r="B30" s="37" t="s">
        <v>125</v>
      </c>
      <c r="C30" s="37" t="s">
        <v>129</v>
      </c>
    </row>
    <row r="31" spans="1:3" ht="12.75">
      <c r="A31" s="37">
        <v>1.1</v>
      </c>
      <c r="B31" s="37" t="s">
        <v>130</v>
      </c>
      <c r="C31" s="37" t="s">
        <v>131</v>
      </c>
    </row>
    <row r="32" spans="1:3" ht="12.75">
      <c r="A32" s="37">
        <v>0.089</v>
      </c>
      <c r="B32" s="37" t="s">
        <v>132</v>
      </c>
      <c r="C32" s="37" t="s">
        <v>133</v>
      </c>
    </row>
    <row r="34" spans="1:3" ht="12.75">
      <c r="A34" s="37">
        <v>50</v>
      </c>
      <c r="B34" s="37" t="s">
        <v>134</v>
      </c>
      <c r="C34" s="37" t="s">
        <v>135</v>
      </c>
    </row>
    <row r="35" spans="1:3" ht="12.75">
      <c r="A35" s="37">
        <v>200</v>
      </c>
      <c r="B35" s="37" t="s">
        <v>134</v>
      </c>
      <c r="C35" s="37" t="s">
        <v>136</v>
      </c>
    </row>
    <row r="36" spans="1:3" ht="12.75">
      <c r="A36" s="37">
        <v>10</v>
      </c>
      <c r="B36" s="37" t="s">
        <v>137</v>
      </c>
      <c r="C36" s="37" t="s">
        <v>138</v>
      </c>
    </row>
    <row r="37" spans="1:3" ht="12.75">
      <c r="A37" s="37">
        <v>2</v>
      </c>
      <c r="B37" s="37" t="s">
        <v>132</v>
      </c>
      <c r="C37" s="37" t="s">
        <v>139</v>
      </c>
    </row>
    <row r="38" spans="1:3" ht="12.75">
      <c r="A38" s="37">
        <v>20</v>
      </c>
      <c r="B38" s="37" t="s">
        <v>137</v>
      </c>
      <c r="C38" s="37" t="s">
        <v>140</v>
      </c>
    </row>
    <row r="40" spans="1:3" ht="12.75">
      <c r="A40" s="37">
        <v>0.02</v>
      </c>
      <c r="B40" s="37" t="s">
        <v>141</v>
      </c>
      <c r="C40" s="37" t="s">
        <v>142</v>
      </c>
    </row>
    <row r="42" spans="1:3" ht="12.75">
      <c r="A42" s="37">
        <v>2800</v>
      </c>
      <c r="B42" s="37" t="s">
        <v>143</v>
      </c>
      <c r="C42" s="37" t="s">
        <v>144</v>
      </c>
    </row>
    <row r="43" spans="1:3" ht="12.75">
      <c r="A43" s="37">
        <v>5700</v>
      </c>
      <c r="B43" s="37" t="s">
        <v>143</v>
      </c>
      <c r="C43" s="37" t="s">
        <v>366</v>
      </c>
    </row>
    <row r="44" spans="1:3" ht="12.75">
      <c r="A44" s="37">
        <v>3300</v>
      </c>
      <c r="B44" s="37" t="s">
        <v>143</v>
      </c>
      <c r="C44" s="37" t="s">
        <v>367</v>
      </c>
    </row>
    <row r="46" spans="1:3" ht="12.75">
      <c r="A46" s="37">
        <v>0.2</v>
      </c>
      <c r="B46" s="37" t="s">
        <v>145</v>
      </c>
      <c r="C46" s="37" t="s">
        <v>146</v>
      </c>
    </row>
    <row r="47" spans="1:3" ht="12.75">
      <c r="A47" s="37">
        <v>0.07</v>
      </c>
      <c r="B47" s="37" t="s">
        <v>145</v>
      </c>
      <c r="C47" s="37" t="s">
        <v>369</v>
      </c>
    </row>
    <row r="48" spans="1:3" ht="12.75">
      <c r="A48" s="37">
        <v>0.2</v>
      </c>
      <c r="B48" s="37" t="s">
        <v>145</v>
      </c>
      <c r="C48" s="37" t="s">
        <v>368</v>
      </c>
    </row>
    <row r="50" spans="1:3" ht="12.75">
      <c r="A50" s="37">
        <v>0.5</v>
      </c>
      <c r="B50" s="37" t="s">
        <v>147</v>
      </c>
      <c r="C50" s="37" t="s">
        <v>148</v>
      </c>
    </row>
    <row r="51" ht="12.75">
      <c r="A51" s="37" t="s">
        <v>149</v>
      </c>
    </row>
    <row r="54" spans="1:3" ht="12.75">
      <c r="A54" s="83" t="s">
        <v>150</v>
      </c>
      <c r="B54" s="37" t="s">
        <v>151</v>
      </c>
      <c r="C54" s="83" t="s">
        <v>152</v>
      </c>
    </row>
    <row r="55" spans="2:4" ht="12.75">
      <c r="B55" s="37" t="s">
        <v>151</v>
      </c>
      <c r="C55" s="83">
        <v>11</v>
      </c>
      <c r="D55" s="83" t="s">
        <v>127</v>
      </c>
    </row>
    <row r="56" spans="1:3" ht="12.75">
      <c r="A56" s="37">
        <v>10</v>
      </c>
      <c r="B56" s="37" t="s">
        <v>137</v>
      </c>
      <c r="C56" s="37" t="s">
        <v>138</v>
      </c>
    </row>
    <row r="57" spans="1:3" ht="12.75">
      <c r="A57" s="37">
        <v>6</v>
      </c>
      <c r="B57" s="37" t="s">
        <v>107</v>
      </c>
      <c r="C57" s="37" t="s">
        <v>117</v>
      </c>
    </row>
    <row r="58" spans="1:3" ht="12.75">
      <c r="A58" s="37">
        <v>15</v>
      </c>
      <c r="B58" s="37" t="s">
        <v>122</v>
      </c>
      <c r="C58" s="37" t="s">
        <v>124</v>
      </c>
    </row>
    <row r="59" spans="1:3" ht="12.75">
      <c r="A59" s="37">
        <v>20</v>
      </c>
      <c r="B59" s="37" t="s">
        <v>137</v>
      </c>
      <c r="C59" s="37" t="s">
        <v>140</v>
      </c>
    </row>
    <row r="60" spans="1:3" ht="12.75">
      <c r="A60" s="37">
        <v>24</v>
      </c>
      <c r="B60" s="37" t="s">
        <v>107</v>
      </c>
      <c r="C60" s="37" t="s">
        <v>153</v>
      </c>
    </row>
    <row r="61" spans="1:3" ht="12.75">
      <c r="A61" s="37">
        <v>70</v>
      </c>
      <c r="B61" s="37" t="s">
        <v>122</v>
      </c>
      <c r="C61" s="37" t="s">
        <v>123</v>
      </c>
    </row>
    <row r="64" spans="1:3" ht="12.75">
      <c r="A64" s="83" t="s">
        <v>154</v>
      </c>
      <c r="B64" s="37" t="s">
        <v>151</v>
      </c>
      <c r="C64" s="83" t="s">
        <v>155</v>
      </c>
    </row>
    <row r="65" spans="2:4" ht="12.75">
      <c r="B65" s="37" t="s">
        <v>151</v>
      </c>
      <c r="C65" s="37">
        <v>114</v>
      </c>
      <c r="D65" s="83" t="s">
        <v>127</v>
      </c>
    </row>
    <row r="66" spans="1:3" ht="12.75">
      <c r="A66" s="37">
        <v>200</v>
      </c>
      <c r="B66" s="37" t="s">
        <v>134</v>
      </c>
      <c r="C66" s="37" t="s">
        <v>136</v>
      </c>
    </row>
    <row r="67" spans="1:3" ht="12.75">
      <c r="A67" s="37">
        <v>6</v>
      </c>
      <c r="B67" s="37" t="s">
        <v>107</v>
      </c>
      <c r="C67" s="37" t="s">
        <v>117</v>
      </c>
    </row>
    <row r="68" spans="1:3" ht="12.75">
      <c r="A68" s="37">
        <v>15</v>
      </c>
      <c r="B68" s="37" t="s">
        <v>122</v>
      </c>
      <c r="C68" s="37" t="s">
        <v>124</v>
      </c>
    </row>
    <row r="69" spans="1:3" ht="12.75">
      <c r="A69" s="37">
        <v>100</v>
      </c>
      <c r="B69" s="37" t="s">
        <v>134</v>
      </c>
      <c r="C69" s="37" t="s">
        <v>156</v>
      </c>
    </row>
    <row r="70" spans="1:3" ht="12.75">
      <c r="A70" s="37">
        <v>24</v>
      </c>
      <c r="B70" s="37" t="s">
        <v>107</v>
      </c>
      <c r="C70" s="37" t="s">
        <v>153</v>
      </c>
    </row>
    <row r="71" spans="1:3" ht="12.75">
      <c r="A71" s="37">
        <v>70</v>
      </c>
      <c r="B71" s="37" t="s">
        <v>122</v>
      </c>
      <c r="C71" s="37" t="s">
        <v>123</v>
      </c>
    </row>
    <row r="74" spans="1:3" ht="12.75">
      <c r="A74" s="83" t="s">
        <v>157</v>
      </c>
      <c r="B74" s="37" t="s">
        <v>151</v>
      </c>
      <c r="C74" s="83" t="s">
        <v>158</v>
      </c>
    </row>
    <row r="75" spans="2:4" ht="12.75">
      <c r="B75" s="37" t="s">
        <v>151</v>
      </c>
      <c r="C75" s="37">
        <v>360</v>
      </c>
      <c r="D75" s="83" t="s">
        <v>125</v>
      </c>
    </row>
    <row r="76" spans="1:3" ht="12.75">
      <c r="A76" s="37">
        <v>6</v>
      </c>
      <c r="B76" s="37" t="s">
        <v>107</v>
      </c>
      <c r="C76" s="37" t="s">
        <v>117</v>
      </c>
    </row>
    <row r="77" spans="1:5" ht="12.75">
      <c r="A77" s="37">
        <v>0.2</v>
      </c>
      <c r="B77" s="37" t="s">
        <v>145</v>
      </c>
      <c r="C77" s="37" t="s">
        <v>146</v>
      </c>
      <c r="E77" s="85"/>
    </row>
    <row r="78" spans="1:3" ht="12.75">
      <c r="A78" s="37">
        <v>2800</v>
      </c>
      <c r="B78" s="37" t="s">
        <v>143</v>
      </c>
      <c r="C78" s="37" t="s">
        <v>144</v>
      </c>
    </row>
    <row r="79" spans="1:3" ht="12.75">
      <c r="A79" s="37">
        <v>15</v>
      </c>
      <c r="B79" s="37" t="s">
        <v>122</v>
      </c>
      <c r="C79" s="37" t="s">
        <v>124</v>
      </c>
    </row>
    <row r="80" spans="1:3" ht="12.75">
      <c r="A80" s="37">
        <v>24</v>
      </c>
      <c r="B80" s="37" t="s">
        <v>107</v>
      </c>
      <c r="C80" s="37" t="s">
        <v>153</v>
      </c>
    </row>
    <row r="81" spans="1:3" ht="12.75">
      <c r="A81" s="37">
        <v>0.07</v>
      </c>
      <c r="B81" s="37" t="s">
        <v>145</v>
      </c>
      <c r="C81" s="37" t="s">
        <v>369</v>
      </c>
    </row>
    <row r="82" spans="1:3" ht="12.75">
      <c r="A82" s="37">
        <v>5700</v>
      </c>
      <c r="B82" s="37" t="s">
        <v>143</v>
      </c>
      <c r="C82" s="37" t="s">
        <v>366</v>
      </c>
    </row>
    <row r="83" spans="1:3" ht="12.75">
      <c r="A83" s="37">
        <v>70</v>
      </c>
      <c r="B83" s="37" t="s">
        <v>122</v>
      </c>
      <c r="C83" s="37" t="s">
        <v>123</v>
      </c>
    </row>
    <row r="86" spans="1:3" ht="12.75">
      <c r="A86" s="37" t="s">
        <v>159</v>
      </c>
      <c r="B86" s="37" t="s">
        <v>151</v>
      </c>
      <c r="C86" s="83" t="s">
        <v>160</v>
      </c>
    </row>
    <row r="87" spans="2:4" ht="12.75">
      <c r="B87" s="37" t="s">
        <v>151</v>
      </c>
      <c r="C87" s="37">
        <v>1.1</v>
      </c>
      <c r="D87" s="37" t="s">
        <v>130</v>
      </c>
    </row>
    <row r="88" spans="1:3" ht="12.75">
      <c r="A88" s="37">
        <v>1</v>
      </c>
      <c r="B88" s="37" t="s">
        <v>132</v>
      </c>
      <c r="C88" s="37" t="s">
        <v>161</v>
      </c>
    </row>
    <row r="89" spans="1:3" ht="12.75">
      <c r="A89" s="37">
        <v>6</v>
      </c>
      <c r="B89" s="37" t="s">
        <v>107</v>
      </c>
      <c r="C89" s="37" t="s">
        <v>117</v>
      </c>
    </row>
    <row r="90" spans="1:3" ht="12.75">
      <c r="A90" s="37">
        <v>15</v>
      </c>
      <c r="B90" s="37" t="s">
        <v>122</v>
      </c>
      <c r="C90" s="37" t="s">
        <v>124</v>
      </c>
    </row>
    <row r="91" spans="1:3" ht="12.75">
      <c r="A91" s="37">
        <v>2</v>
      </c>
      <c r="B91" s="37" t="s">
        <v>132</v>
      </c>
      <c r="C91" s="37" t="s">
        <v>139</v>
      </c>
    </row>
    <row r="92" spans="1:3" ht="12.75">
      <c r="A92" s="37">
        <v>24</v>
      </c>
      <c r="B92" s="37" t="s">
        <v>107</v>
      </c>
      <c r="C92" s="37" t="s">
        <v>153</v>
      </c>
    </row>
    <row r="93" spans="1:3" ht="12.75">
      <c r="A93" s="37">
        <v>70</v>
      </c>
      <c r="B93" s="37" t="s">
        <v>122</v>
      </c>
      <c r="C93" s="37" t="s">
        <v>123</v>
      </c>
    </row>
    <row r="96" ht="12.75">
      <c r="A96" s="82"/>
    </row>
    <row r="97" ht="12.75">
      <c r="A97" s="82" t="s">
        <v>162</v>
      </c>
    </row>
    <row r="98" spans="1:3" ht="12.75">
      <c r="A98" s="37">
        <v>0</v>
      </c>
      <c r="B98" s="37" t="s">
        <v>5</v>
      </c>
      <c r="C98" s="37" t="s">
        <v>163</v>
      </c>
    </row>
    <row r="99" spans="1:3" ht="12.75">
      <c r="A99" s="37">
        <v>0</v>
      </c>
      <c r="B99" s="37" t="s">
        <v>5</v>
      </c>
      <c r="C99" s="83" t="s">
        <v>164</v>
      </c>
    </row>
    <row r="100" spans="1:3" ht="12.75">
      <c r="A100" s="37">
        <v>0.1</v>
      </c>
      <c r="B100" s="37" t="s">
        <v>5</v>
      </c>
      <c r="C100" s="37" t="s">
        <v>165</v>
      </c>
    </row>
    <row r="101" spans="1:3" ht="12.75">
      <c r="A101" s="37">
        <v>0</v>
      </c>
      <c r="B101" s="37" t="s">
        <v>5</v>
      </c>
      <c r="C101" s="37" t="s">
        <v>166</v>
      </c>
    </row>
    <row r="102" spans="1:3" ht="12.75">
      <c r="A102" s="37">
        <v>0.03</v>
      </c>
      <c r="B102" s="37" t="s">
        <v>5</v>
      </c>
      <c r="C102" s="37" t="s">
        <v>18</v>
      </c>
    </row>
    <row r="103" spans="1:3" ht="12.75">
      <c r="A103" s="37">
        <v>0.001</v>
      </c>
      <c r="B103" s="37" t="s">
        <v>5</v>
      </c>
      <c r="C103" s="37" t="s">
        <v>32</v>
      </c>
    </row>
    <row r="104" spans="1:3" ht="12.75">
      <c r="A104" s="37">
        <v>0.04</v>
      </c>
      <c r="B104" s="37" t="s">
        <v>5</v>
      </c>
      <c r="C104" s="37" t="s">
        <v>33</v>
      </c>
    </row>
    <row r="105" spans="1:3" ht="12.75">
      <c r="A105" s="37">
        <v>0.03</v>
      </c>
      <c r="B105" s="37" t="s">
        <v>5</v>
      </c>
      <c r="C105" s="37" t="s">
        <v>167</v>
      </c>
    </row>
    <row r="106" spans="1:3" ht="12.75">
      <c r="A106" s="37">
        <v>0.04</v>
      </c>
      <c r="B106" s="37" t="s">
        <v>5</v>
      </c>
      <c r="C106" s="37" t="s">
        <v>168</v>
      </c>
    </row>
    <row r="107" spans="1:3" ht="12.75">
      <c r="A107" s="37">
        <v>0.25</v>
      </c>
      <c r="B107" s="37" t="s">
        <v>5</v>
      </c>
      <c r="C107" s="37" t="s">
        <v>68</v>
      </c>
    </row>
    <row r="108" spans="1:3" ht="12.75">
      <c r="A108" s="37">
        <v>0.14</v>
      </c>
      <c r="B108" s="37" t="s">
        <v>5</v>
      </c>
      <c r="C108" s="83" t="s">
        <v>70</v>
      </c>
    </row>
    <row r="109" spans="1:3" ht="12.75">
      <c r="A109" s="37">
        <v>0.13</v>
      </c>
      <c r="B109" s="37" t="s">
        <v>5</v>
      </c>
      <c r="C109" s="37" t="s">
        <v>169</v>
      </c>
    </row>
    <row r="110" ht="12.75">
      <c r="D110" s="37" t="s">
        <v>170</v>
      </c>
    </row>
    <row r="111" ht="12.75">
      <c r="D111" s="37" t="s">
        <v>171</v>
      </c>
    </row>
    <row r="112" ht="12.75">
      <c r="D112" s="37" t="s">
        <v>172</v>
      </c>
    </row>
    <row r="113" ht="12.75">
      <c r="D113" s="37" t="s">
        <v>173</v>
      </c>
    </row>
    <row r="114" ht="12.75">
      <c r="D114" s="37" t="s">
        <v>174</v>
      </c>
    </row>
    <row r="115" ht="12.75">
      <c r="D115" s="37" t="s">
        <v>175</v>
      </c>
    </row>
    <row r="116" ht="12.75">
      <c r="D116" s="37" t="s">
        <v>378</v>
      </c>
    </row>
    <row r="117" ht="12.75">
      <c r="D117" s="37" t="s">
        <v>176</v>
      </c>
    </row>
    <row r="118" ht="12.75">
      <c r="D118" s="37" t="s">
        <v>177</v>
      </c>
    </row>
    <row r="119" ht="12.75">
      <c r="D119" s="37" t="s">
        <v>178</v>
      </c>
    </row>
    <row r="120" ht="12.75">
      <c r="D120" s="37" t="s">
        <v>179</v>
      </c>
    </row>
    <row r="121" ht="12.75">
      <c r="D121" s="37" t="s">
        <v>180</v>
      </c>
    </row>
    <row r="122" ht="12.75">
      <c r="D122" s="37" t="s">
        <v>181</v>
      </c>
    </row>
  </sheetData>
  <sheetProtection password="C596" sheet="1" objects="1" scenarios="1"/>
  <printOptions gridLines="1" horizontalCentered="1"/>
  <pageMargins left="0.75" right="0.75" top="1.5" bottom="0.7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202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40625" defaultRowHeight="12.75"/>
  <cols>
    <col min="1" max="1" width="27.421875" style="37" customWidth="1"/>
    <col min="2" max="2" width="9.00390625" style="37" customWidth="1"/>
    <col min="3" max="3" width="10.140625" style="37" bestFit="1" customWidth="1"/>
    <col min="4" max="4" width="10.57421875" style="37" customWidth="1"/>
    <col min="5" max="5" width="9.28125" style="37" bestFit="1" customWidth="1"/>
    <col min="6" max="6" width="10.57421875" style="37" customWidth="1"/>
    <col min="7" max="7" width="10.00390625" style="37" customWidth="1"/>
    <col min="8" max="8" width="8.00390625" style="37" customWidth="1"/>
    <col min="9" max="9" width="4.8515625" style="37" customWidth="1"/>
    <col min="10" max="10" width="8.00390625" style="37" customWidth="1"/>
    <col min="11" max="11" width="6.57421875" style="37" customWidth="1"/>
    <col min="12" max="13" width="9.7109375" style="37" customWidth="1"/>
    <col min="14" max="14" width="7.421875" style="37" customWidth="1"/>
    <col min="15" max="16384" width="7.8515625" style="37" customWidth="1"/>
  </cols>
  <sheetData>
    <row r="1" spans="1:13" ht="12.75">
      <c r="A1" s="197" t="s">
        <v>462</v>
      </c>
      <c r="B1" s="123"/>
      <c r="C1" s="198" t="s">
        <v>217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2.75">
      <c r="A2" s="195" t="str">
        <f>Soilni!$A$2</f>
        <v>Revision Date: 08/04/2003</v>
      </c>
      <c r="B2" s="195" t="str">
        <f>Soilni!$B$2</f>
        <v>Run date:</v>
      </c>
      <c r="C2" s="199">
        <f>Soilni!$C$2</f>
        <v>37932</v>
      </c>
      <c r="D2" s="196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71" ht="12.75">
      <c r="A4" s="200" t="s">
        <v>218</v>
      </c>
      <c r="B4" s="201" t="s">
        <v>219</v>
      </c>
      <c r="C4" s="123"/>
      <c r="D4" s="123"/>
      <c r="E4" s="201"/>
      <c r="F4" s="123"/>
      <c r="G4" s="123"/>
      <c r="H4" s="123"/>
      <c r="I4" s="123"/>
      <c r="J4" s="123"/>
      <c r="K4" s="123"/>
      <c r="L4" s="123"/>
      <c r="M4" s="123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2.75">
      <c r="A5" s="200" t="s">
        <v>489</v>
      </c>
      <c r="B5" s="201" t="s">
        <v>220</v>
      </c>
      <c r="C5" s="123"/>
      <c r="D5" s="123"/>
      <c r="E5" s="201"/>
      <c r="F5" s="123"/>
      <c r="G5" s="123"/>
      <c r="H5" s="123"/>
      <c r="I5" s="123"/>
      <c r="J5" s="123"/>
      <c r="K5" s="123"/>
      <c r="L5" s="123"/>
      <c r="M5" s="123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2.75">
      <c r="A6" s="200" t="s">
        <v>221</v>
      </c>
      <c r="B6" s="201" t="s">
        <v>222</v>
      </c>
      <c r="C6" s="123"/>
      <c r="D6" s="123"/>
      <c r="E6" s="201"/>
      <c r="F6" s="123"/>
      <c r="G6" s="123"/>
      <c r="H6" s="123"/>
      <c r="I6" s="123"/>
      <c r="J6" s="123"/>
      <c r="K6" s="123"/>
      <c r="L6" s="123"/>
      <c r="M6" s="12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ht="12.75">
      <c r="A7" s="200" t="s">
        <v>490</v>
      </c>
      <c r="B7" s="201" t="s">
        <v>223</v>
      </c>
      <c r="C7" s="123"/>
      <c r="D7" s="123"/>
      <c r="E7" s="201"/>
      <c r="F7" s="123"/>
      <c r="G7" s="123"/>
      <c r="H7" s="123"/>
      <c r="I7" s="123"/>
      <c r="J7" s="123"/>
      <c r="K7" s="123"/>
      <c r="L7" s="123"/>
      <c r="M7" s="123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12.75">
      <c r="A8" s="123"/>
      <c r="B8" s="201"/>
      <c r="C8" s="201"/>
      <c r="D8" s="201"/>
      <c r="E8" s="201"/>
      <c r="F8" s="123"/>
      <c r="G8" s="187"/>
      <c r="H8" s="123"/>
      <c r="I8" s="123"/>
      <c r="J8" s="123"/>
      <c r="K8" s="123"/>
      <c r="L8" s="123"/>
      <c r="M8" s="123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ht="12.75">
      <c r="A9" s="202"/>
      <c r="B9" s="203"/>
      <c r="C9" s="204"/>
      <c r="D9" s="204"/>
      <c r="E9" s="204"/>
      <c r="F9" s="204"/>
      <c r="G9" s="157" t="s">
        <v>224</v>
      </c>
      <c r="H9" s="203"/>
      <c r="I9" s="203"/>
      <c r="J9" s="203"/>
      <c r="K9" s="203"/>
      <c r="L9" s="203"/>
      <c r="M9" s="205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12.75">
      <c r="A10" s="206"/>
      <c r="B10" s="207" t="s">
        <v>225</v>
      </c>
      <c r="C10" s="208"/>
      <c r="D10" s="208"/>
      <c r="E10" s="208"/>
      <c r="F10" s="208"/>
      <c r="G10" s="208" t="s">
        <v>206</v>
      </c>
      <c r="H10" s="208" t="s">
        <v>226</v>
      </c>
      <c r="I10" s="208"/>
      <c r="J10" s="208" t="s">
        <v>227</v>
      </c>
      <c r="K10" s="208"/>
      <c r="L10" s="208" t="s">
        <v>228</v>
      </c>
      <c r="M10" s="209" t="s">
        <v>228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12.75">
      <c r="A11" s="210" t="str">
        <f>'SF&amp;RfD'!A1</f>
        <v>COMPOUND</v>
      </c>
      <c r="B11" s="211" t="s">
        <v>229</v>
      </c>
      <c r="C11" s="211" t="s">
        <v>230</v>
      </c>
      <c r="D11" s="211" t="s">
        <v>231</v>
      </c>
      <c r="E11" s="211" t="s">
        <v>232</v>
      </c>
      <c r="F11" s="211" t="s">
        <v>233</v>
      </c>
      <c r="G11" s="211" t="s">
        <v>211</v>
      </c>
      <c r="H11" s="179" t="s">
        <v>229</v>
      </c>
      <c r="I11" s="179"/>
      <c r="J11" s="179" t="s">
        <v>229</v>
      </c>
      <c r="K11" s="179"/>
      <c r="L11" s="179" t="s">
        <v>234</v>
      </c>
      <c r="M11" s="180" t="s">
        <v>235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12.75">
      <c r="A12" s="164" t="str">
        <f>'SF&amp;RfD'!A3</f>
        <v>Acenaphthene</v>
      </c>
      <c r="B12" s="166"/>
      <c r="C12" s="212" t="s">
        <v>83</v>
      </c>
      <c r="D12" s="212"/>
      <c r="E12" s="212">
        <f>(THQ*BWa*ATnni*365)/(EFni*EDni*(((IRAa/'SF&amp;RfD'!I3)*Kw)+(IRWa/'SF&amp;RfD'!G3)))</f>
        <v>0.36499999999999994</v>
      </c>
      <c r="F12" s="165"/>
      <c r="G12" s="181">
        <f>IF(B12,B12,+MIN(C12:F12))</f>
        <v>0.36499999999999994</v>
      </c>
      <c r="H12" s="181">
        <f>+MAX(G12,'Quantitation limits'!C3)</f>
        <v>0.36499999999999994</v>
      </c>
      <c r="I12" s="165" t="str">
        <f>+IF(H12=B12,"MCL",IF(H12=C12,"C",IF(H12=D12,"C",IF(H12=E12,"N",IF(H12=F12,"N",IF(H12='Quantitation limits'!C3,"Q","?"))))))</f>
        <v>N</v>
      </c>
      <c r="J12" s="181">
        <f>+IF(I12="MCL",H12,IF(I12="C",H12,IF(I12="N",H12,IF(I12="Q",IF(G12*'Sd &amp; DAF Summers'!$C$40&gt;H12,G12,H12)))))</f>
        <v>0.36499999999999994</v>
      </c>
      <c r="K12" s="165" t="str">
        <f>+IF(J12=B12,"X DF 2",IF(J12=C12,"X DF 2",IF(J12=D12,"X DF 2",IF(J12=E12,"X DF 2",IF(J12=F12,"X DF 2",IF(J12='Quantitation limits'!C3,"F",IF(J12*'Sd &amp; DAF Summers'!$C$40&gt;G12,"X DF 2","?")))))))</f>
        <v>X DF 2</v>
      </c>
      <c r="L12" s="181">
        <f>+MIN(H12,'Chem&amp;Phy data'!L3)</f>
        <v>0.36499999999999994</v>
      </c>
      <c r="M12" s="182">
        <f>+MIN(J12,'Chem&amp;Phy data'!L3)</f>
        <v>0.36499999999999994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12.75">
      <c r="A13" s="164" t="str">
        <f>'SF&amp;RfD'!A4</f>
        <v>Acenaphthylene</v>
      </c>
      <c r="B13" s="166"/>
      <c r="C13" s="212" t="s">
        <v>83</v>
      </c>
      <c r="D13" s="212"/>
      <c r="E13" s="212">
        <f>(THQ*BWa*ATnni*365)/(EFni*EDni*(((IRAa/'SF&amp;RfD'!I4)*Kw)+(IRWa/'SF&amp;RfD'!G4)))</f>
        <v>0.36499999999999994</v>
      </c>
      <c r="F13" s="165"/>
      <c r="G13" s="181">
        <f>IF(B13,B13,+MIN(C13:F13))</f>
        <v>0.36499999999999994</v>
      </c>
      <c r="H13" s="181">
        <f>+MAX(G13,'Quantitation limits'!C4)</f>
        <v>0.36499999999999994</v>
      </c>
      <c r="I13" s="165" t="str">
        <f>+IF(H13=B13,"MCL",IF(H13=C13,"C",IF(H13=D13,"C",IF(H13=E13,"N",IF(H13=F13,"N",IF(H13='Quantitation limits'!C4,"Q","?"))))))</f>
        <v>N</v>
      </c>
      <c r="J13" s="181">
        <f>+IF(I13="MCL",H13,IF(I13="C",H13,IF(I13="N",H13,IF(I13="Q",IF(G13*'Sd &amp; DAF Summers'!$C$40&gt;H13,G13,H13)))))</f>
        <v>0.36499999999999994</v>
      </c>
      <c r="K13" s="165" t="str">
        <f>+IF(J13=B13,"X DF 2",IF(J13=C13,"X DF 2",IF(J13=D13,"X DF 2",IF(J13=E13,"X DF 2",IF(J13=F13,"X DF 2",IF(J13='Quantitation limits'!C4,"F",IF(J13*'Sd &amp; DAF Summers'!$C$40&gt;G13,"X DF 2","?")))))))</f>
        <v>X DF 2</v>
      </c>
      <c r="L13" s="181">
        <f>+MIN(H13,'Chem&amp;Phy data'!L4)</f>
        <v>0.36499999999999994</v>
      </c>
      <c r="M13" s="182">
        <f>+MIN(J13,'Chem&amp;Phy data'!L4)</f>
        <v>0.36499999999999994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12.75">
      <c r="A14" s="169" t="str">
        <f>'SF&amp;RfD'!A5</f>
        <v>Anthracene</v>
      </c>
      <c r="B14" s="171"/>
      <c r="C14" s="154" t="s">
        <v>83</v>
      </c>
      <c r="D14" s="154"/>
      <c r="E14" s="154">
        <f>(THQ*BWa*ATnni*365)/(EFni*EDni*(((IRAa/'SF&amp;RfD'!I5)*Kw)+(IRWa/'SF&amp;RfD'!G5)))</f>
        <v>1.825</v>
      </c>
      <c r="F14" s="170"/>
      <c r="G14" s="183">
        <f aca="true" t="shared" si="0" ref="G14:G21">IF(B14,B14,+MIN(C14:F14))</f>
        <v>1.825</v>
      </c>
      <c r="H14" s="183">
        <f>+MAX(G14,'Quantitation limits'!C5)</f>
        <v>1.825</v>
      </c>
      <c r="I14" s="170" t="str">
        <f>+IF(H14=B14,"MCL",IF(H14=C14,"C",IF(H14=D14,"C",IF(H14=E14,"N",IF(H14=F14,"N",IF(H14='Quantitation limits'!C5,"Q","?"))))))</f>
        <v>N</v>
      </c>
      <c r="J14" s="183">
        <f>+IF(I14="MCL",H14,IF(I14="C",H14,IF(I14="N",H14,IF(I14="Q",IF(G14*'Sd &amp; DAF Summers'!$C$40&gt;H14,G14,H14)))))</f>
        <v>1.825</v>
      </c>
      <c r="K14" s="170" t="str">
        <f>+IF(J14=B14,"X DF 2",IF(J14=C14,"X DF 2",IF(J14=D14,"X DF 2",IF(J14=E14,"X DF 2",IF(J14=F14,"X DF 2",IF(J14='Quantitation limits'!C5,"F",IF(J14*'Sd &amp; DAF Summers'!$C$40&gt;G14,"X DF 2","?")))))))</f>
        <v>X DF 2</v>
      </c>
      <c r="L14" s="183">
        <f>+MIN(H14,'Chem&amp;Phy data'!L5)</f>
        <v>0.043</v>
      </c>
      <c r="M14" s="152">
        <f>+MIN(J14,'Chem&amp;Phy data'!L5)</f>
        <v>0.043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2.75">
      <c r="A15" s="169" t="str">
        <f>'SF&amp;RfD'!A6</f>
        <v>Benzene</v>
      </c>
      <c r="B15" s="171">
        <v>0.005</v>
      </c>
      <c r="C15" s="154">
        <f>(TR*ATc*365)/(EFni*(('SF&amp;RfD'!E6*Kw*IRAadj)+('SF&amp;RfD'!C6*IRWadj)))</f>
        <v>0.0003814002089864158</v>
      </c>
      <c r="D15" s="154"/>
      <c r="E15" s="154">
        <f>(THQ*BWa*ATnni*365)/(EFni*EDni*(((IRAa/'SF&amp;RfD'!I6)*Kw)+(IRWa/'SF&amp;RfD'!G6)))</f>
        <v>0.043902097902097904</v>
      </c>
      <c r="F15" s="170"/>
      <c r="G15" s="183">
        <f t="shared" si="0"/>
        <v>0.005</v>
      </c>
      <c r="H15" s="183">
        <f>+MAX(G15,'Quantitation limits'!C6)</f>
        <v>0.005</v>
      </c>
      <c r="I15" s="170" t="str">
        <f>+IF(H15=B15,"MCL",IF(H15=C15,"C",IF(H15=D15,"C",IF(H15=E15,"N",IF(H15=F15,"N",IF(H15='Quantitation limits'!C6,"Q","?"))))))</f>
        <v>MCL</v>
      </c>
      <c r="J15" s="183">
        <f>+IF(I15="MCL",H15,IF(I15="C",H15,IF(I15="N",H15,IF(I15="Q",IF(G15*'Sd &amp; DAF Summers'!$C$40&gt;H15,G15,H15)))))</f>
        <v>0.005</v>
      </c>
      <c r="K15" s="170" t="str">
        <f>+IF(J15=B15,"X DF 2",IF(J15=C15,"X DF 2",IF(J15=D15,"X DF 2",IF(J15=E15,"X DF 2",IF(J15=F15,"X DF 2",IF(J15='Quantitation limits'!C6,"F",IF(J15*'Sd &amp; DAF Summers'!$C$40&gt;G15,"X DF 2","?")))))))</f>
        <v>X DF 2</v>
      </c>
      <c r="L15" s="183">
        <f>+MIN(H15,'Chem&amp;Phy data'!L6)</f>
        <v>0.005</v>
      </c>
      <c r="M15" s="152">
        <f>+MIN(J15,'Chem&amp;Phy data'!L6)</f>
        <v>0.005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12.75">
      <c r="A16" s="169" t="str">
        <f>'SF&amp;RfD'!A7</f>
        <v>Benz(a)anthracene</v>
      </c>
      <c r="B16" s="171"/>
      <c r="C16" s="154"/>
      <c r="D16" s="154">
        <f>(TR*ATc*365)/(EFni*('SF&amp;RfD'!C7*IRWadj))</f>
        <v>9.090909090909089E-05</v>
      </c>
      <c r="E16" s="154"/>
      <c r="F16" s="154" t="s">
        <v>83</v>
      </c>
      <c r="G16" s="183">
        <f t="shared" si="0"/>
        <v>9.090909090909089E-05</v>
      </c>
      <c r="H16" s="183">
        <f>+MAX(G16,'Quantitation limits'!C7)</f>
        <v>0.0078</v>
      </c>
      <c r="I16" s="170" t="str">
        <f>+IF(H16=B16,"MCL",IF(H16=C16,"C",IF(H16=D16,"C",IF(H16=E16,"N",IF(H16=F16,"N",IF(H16='Quantitation limits'!C7,"Q","?"))))))</f>
        <v>Q</v>
      </c>
      <c r="J16" s="183">
        <f>+IF(I16="MCL",H16,IF(I16="C",H16,IF(I16="N",H16,IF(I16="Q",IF(G16*'Sd &amp; DAF Summers'!$C$40&gt;H16,G16,H16)))))</f>
        <v>9.090909090909089E-05</v>
      </c>
      <c r="K16" s="170" t="str">
        <f>+IF(J16=B16,"X DF 2",IF(J16=C16,"X DF 2",IF(J16=D16,"X DF 2",IF(J16=E16,"X DF 2",IF(J16=F16,"X DF 2",IF(J16='Quantitation limits'!C7,"F",IF(J16*'Sd &amp; DAF Summers'!$C$40&gt;G16,"X DF 2","?")))))))</f>
        <v>X DF 2</v>
      </c>
      <c r="L16" s="183">
        <f>+MIN(H16,'Chem&amp;Phy data'!L7)</f>
        <v>0.0078</v>
      </c>
      <c r="M16" s="152">
        <f>+MIN(J16,'Chem&amp;Phy data'!L7)</f>
        <v>9.090909090909089E-05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12.75">
      <c r="A17" s="169" t="str">
        <f>'SF&amp;RfD'!A8</f>
        <v>Benzo(a)pyrene</v>
      </c>
      <c r="B17" s="171">
        <v>0.0002</v>
      </c>
      <c r="C17" s="154"/>
      <c r="D17" s="154">
        <f>(TR*ATc*365)/(EFni*('SF&amp;RfD'!C8*IRWadj))</f>
        <v>9.090909090909088E-06</v>
      </c>
      <c r="E17" s="154"/>
      <c r="F17" s="154" t="s">
        <v>83</v>
      </c>
      <c r="G17" s="183">
        <f t="shared" si="0"/>
        <v>0.0002</v>
      </c>
      <c r="H17" s="183">
        <f>+MAX(G17,'Quantitation limits'!C8)</f>
        <v>0.0002</v>
      </c>
      <c r="I17" s="170" t="str">
        <f>+IF(H17=B17,"MCL",IF(H17=C17,"C",IF(H17=D17,"C",IF(H17=E17,"N",IF(H17=F17,"N",IF(H17='Quantitation limits'!C8,"Q","?"))))))</f>
        <v>MCL</v>
      </c>
      <c r="J17" s="183">
        <f>+IF(I17="MCL",H17,IF(I17="C",H17,IF(I17="N",H17,IF(I17="Q",IF(G17*'Sd &amp; DAF Summers'!$C$40&gt;H17,G17,H17)))))</f>
        <v>0.0002</v>
      </c>
      <c r="K17" s="170" t="str">
        <f>+IF(J17=B17,"X DF 2",IF(J17=C17,"X DF 2",IF(J17=D17,"X DF 2",IF(J17=E17,"X DF 2",IF(J17=F17,"X DF 2",IF(J17='Quantitation limits'!C8,"F",IF(J17*'Sd &amp; DAF Summers'!$C$40&gt;G17,"X DF 2","?")))))))</f>
        <v>X DF 2</v>
      </c>
      <c r="L17" s="183">
        <f>+MIN(H17,'Chem&amp;Phy data'!L8)</f>
        <v>0.0002</v>
      </c>
      <c r="M17" s="152">
        <f>+MIN(J17,'Chem&amp;Phy data'!L8)</f>
        <v>0.0002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12.75">
      <c r="A18" s="169" t="str">
        <f>'SF&amp;RfD'!A9</f>
        <v>Benzo(b)fluoranthene</v>
      </c>
      <c r="B18" s="171"/>
      <c r="C18" s="154"/>
      <c r="D18" s="154">
        <f>(TR*ATc*365)/(EFni*('SF&amp;RfD'!C9*IRWadj))</f>
        <v>9.090909090909089E-05</v>
      </c>
      <c r="E18" s="154"/>
      <c r="F18" s="154" t="s">
        <v>83</v>
      </c>
      <c r="G18" s="183">
        <f t="shared" si="0"/>
        <v>9.090909090909089E-05</v>
      </c>
      <c r="H18" s="183">
        <f>+MAX(G18,'Quantitation limits'!C9)</f>
        <v>0.0048</v>
      </c>
      <c r="I18" s="170" t="str">
        <f>+IF(H18=B18,"MCL",IF(H18=C18,"C",IF(H18=D18,"C",IF(H18=E18,"N",IF(H18=F18,"N",IF(H18='Quantitation limits'!C9,"Q","?"))))))</f>
        <v>Q</v>
      </c>
      <c r="J18" s="183">
        <f>+IF(I18="MCL",H18,IF(I18="C",H18,IF(I18="N",H18,IF(I18="Q",IF(G18*'Sd &amp; DAF Summers'!$C$40&gt;H18,G18,H18)))))</f>
        <v>9.090909090909089E-05</v>
      </c>
      <c r="K18" s="170" t="str">
        <f>+IF(J18=B18,"X DF 2",IF(J18=C18,"X DF 2",IF(J18=D18,"X DF 2",IF(J18=E18,"X DF 2",IF(J18=F18,"X DF 2",IF(J18='Quantitation limits'!C9,"F",IF(J18*'Sd &amp; DAF Summers'!$C$40&gt;G18,"X DF 2","?")))))))</f>
        <v>X DF 2</v>
      </c>
      <c r="L18" s="183">
        <f>+MIN(H18,'Chem&amp;Phy data'!L9)</f>
        <v>0.0015</v>
      </c>
      <c r="M18" s="152">
        <f>+MIN(J18,'Chem&amp;Phy data'!L9)</f>
        <v>9.090909090909089E-05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12.75">
      <c r="A19" s="169" t="str">
        <f>'SF&amp;RfD'!A10</f>
        <v>Benzo(k)fluoranthene</v>
      </c>
      <c r="B19" s="171"/>
      <c r="C19" s="154"/>
      <c r="D19" s="154">
        <f>(TR*ATc*365)/(EFni*('SF&amp;RfD'!C10*IRWadj))</f>
        <v>0.000909090909090909</v>
      </c>
      <c r="E19" s="154"/>
      <c r="F19" s="154" t="s">
        <v>83</v>
      </c>
      <c r="G19" s="183">
        <f t="shared" si="0"/>
        <v>0.000909090909090909</v>
      </c>
      <c r="H19" s="183">
        <f>+MAX(G19,'Quantitation limits'!C10)</f>
        <v>0.0025</v>
      </c>
      <c r="I19" s="170" t="str">
        <f>+IF(H19=B19,"MCL",IF(H19=C19,"C",IF(H19=D19,"C",IF(H19=E19,"N",IF(H19=F19,"N",IF(H19='Quantitation limits'!C10,"Q","?"))))))</f>
        <v>Q</v>
      </c>
      <c r="J19" s="183">
        <f>+IF(I19="MCL",H19,IF(I19="C",H19,IF(I19="N",H19,IF(I19="Q",IF(G19*'Sd &amp; DAF Summers'!$C$40&gt;H19,G19,H19)))))</f>
        <v>0.000909090909090909</v>
      </c>
      <c r="K19" s="170" t="str">
        <f>+IF(J19=B19,"X DF 2",IF(J19=C19,"X DF 2",IF(J19=D19,"X DF 2",IF(J19=E19,"X DF 2",IF(J19=F19,"X DF 2",IF(J19='Quantitation limits'!C10,"F",IF(J19*'Sd &amp; DAF Summers'!$C$40&gt;G19,"X DF 2","?")))))))</f>
        <v>X DF 2</v>
      </c>
      <c r="L19" s="183">
        <f>+MIN(H19,'Chem&amp;Phy data'!L10)</f>
        <v>0.0008</v>
      </c>
      <c r="M19" s="152">
        <f>+MIN(J19,'Chem&amp;Phy data'!L10)</f>
        <v>0.0008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ht="12.75">
      <c r="A20" s="169" t="str">
        <f>'SF&amp;RfD'!A11</f>
        <v>Chrysene</v>
      </c>
      <c r="B20" s="171"/>
      <c r="C20" s="170"/>
      <c r="D20" s="154">
        <f>(TR*ATc*365)/(EFni*('SF&amp;RfD'!C11*IRWadj))</f>
        <v>0.009090909090909089</v>
      </c>
      <c r="E20" s="154"/>
      <c r="F20" s="154" t="s">
        <v>83</v>
      </c>
      <c r="G20" s="183">
        <f t="shared" si="0"/>
        <v>0.009090909090909089</v>
      </c>
      <c r="H20" s="183">
        <f>+MAX(G20,'Quantitation limits'!C11)</f>
        <v>0.009090909090909089</v>
      </c>
      <c r="I20" s="170" t="str">
        <f>+IF(H20=B20,"MCL",IF(H20=C20,"C",IF(H20=D20,"C",IF(H20=E20,"N",IF(H20=F20,"N",IF(H20='Quantitation limits'!C11,"Q","?"))))))</f>
        <v>C</v>
      </c>
      <c r="J20" s="183">
        <f>+IF(I20="MCL",H20,IF(I20="C",H20,IF(I20="N",H20,IF(I20="Q",IF(G20*'Sd &amp; DAF Summers'!$C$40&gt;H20,G20,H20)))))</f>
        <v>0.009090909090909089</v>
      </c>
      <c r="K20" s="170" t="str">
        <f>+IF(J20=B20,"X DF 2",IF(J20=C20,"X DF 2",IF(J20=D20,"X DF 2",IF(J20=E20,"X DF 2",IF(J20=F20,"X DF 2",IF(J20='Quantitation limits'!C11,"F",IF(J20*'Sd &amp; DAF Summers'!$C$40&gt;G20,"X DF 2","?")))))))</f>
        <v>X DF 2</v>
      </c>
      <c r="L20" s="183">
        <f>+MIN(H20,'Chem&amp;Phy data'!L11)</f>
        <v>0.0016</v>
      </c>
      <c r="M20" s="152">
        <f>+MIN(J20,'Chem&amp;Phy data'!L11)</f>
        <v>0.0016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ht="12.75">
      <c r="A21" s="169" t="str">
        <f>'SF&amp;RfD'!A12</f>
        <v>Dibenz(a,h)anthracene</v>
      </c>
      <c r="B21" s="171"/>
      <c r="C21" s="170"/>
      <c r="D21" s="154">
        <f>(TR*ATc*365)/(EFni*('SF&amp;RfD'!C12*IRWadj))</f>
        <v>9.090909090909088E-06</v>
      </c>
      <c r="E21" s="154"/>
      <c r="F21" s="154" t="s">
        <v>83</v>
      </c>
      <c r="G21" s="183">
        <f t="shared" si="0"/>
        <v>9.090909090909088E-06</v>
      </c>
      <c r="H21" s="183">
        <f>+MAX(G21,'Quantitation limits'!C12)</f>
        <v>0.0025</v>
      </c>
      <c r="I21" s="170" t="str">
        <f>+IF(H21=B21,"MCL",IF(H21=C21,"C",IF(H21=D21,"C",IF(H21=E21,"N",IF(H21=F21,"N",IF(H21='Quantitation limits'!C12,"Q","?"))))))</f>
        <v>Q</v>
      </c>
      <c r="J21" s="183">
        <f>+IF(I21="MCL",H21,IF(I21="C",H21,IF(I21="N",H21,IF(I21="Q",IF(G21*'Sd &amp; DAF Summers'!$C$40&gt;H21,G21,H21)))))</f>
        <v>0.0025</v>
      </c>
      <c r="K21" s="170" t="str">
        <f>+IF(J21=B21,"X DF 2",IF(J21=C21,"X DF 2",IF(J21=D21,"X DF 2",IF(J21=E21,"X DF 2",IF(J21=F21,"X DF 2",IF(J21='Quantitation limits'!C12,"F",IF(J21*'Sd &amp; DAF Summers'!$C$40&gt;G21,"X DF 2","?")))))))</f>
        <v>F</v>
      </c>
      <c r="L21" s="183">
        <f>+MIN(H21,'Chem&amp;Phy data'!L12)</f>
        <v>0.0025</v>
      </c>
      <c r="M21" s="152">
        <f>+MIN(J21,'Chem&amp;Phy data'!L12)</f>
        <v>0.0025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ht="12.75">
      <c r="A22" s="169" t="str">
        <f>'SF&amp;RfD'!A13</f>
        <v>Ethyl benzene</v>
      </c>
      <c r="B22" s="171">
        <v>0.7</v>
      </c>
      <c r="C22" s="154" t="s">
        <v>83</v>
      </c>
      <c r="D22" s="170"/>
      <c r="E22" s="154">
        <f>(THQ*BWa*ATnni*365)/(EFni*EDni*(((IRAa/'SF&amp;RfD'!I13)*Kw)+(IRWa/'SF&amp;RfD'!G13)))</f>
        <v>1.328117048346056</v>
      </c>
      <c r="F22" s="170"/>
      <c r="G22" s="183">
        <f>IF(B22,B22,+MIN(C22:F22))</f>
        <v>0.7</v>
      </c>
      <c r="H22" s="183">
        <f>+MAX(G22,'Quantitation limits'!C13)</f>
        <v>0.7</v>
      </c>
      <c r="I22" s="170" t="str">
        <f>+IF(H22=B22,"MCL",IF(H22=C22,"C",IF(H22=D22,"C",IF(H22=E22,"N",IF(H22=F22,"N",IF(H22='Quantitation limits'!C13,"Q","?"))))))</f>
        <v>MCL</v>
      </c>
      <c r="J22" s="183">
        <f>+IF(I22="MCL",H22,IF(I22="C",H22,IF(I22="N",H22,IF(I22="Q",IF(G22*'Sd &amp; DAF Summers'!$C$40&gt;H22,G22,H22)))))</f>
        <v>0.7</v>
      </c>
      <c r="K22" s="170" t="str">
        <f>+IF(J22=B22,"X DF 2",IF(J22=C22,"X DF 2",IF(J22=D22,"X DF 2",IF(J22=E22,"X DF 2",IF(J22=F22,"X DF 2",IF(J22='Quantitation limits'!C13,"F",IF(J22*'Sd &amp; DAF Summers'!$C$40&gt;G22,"X DF 2","?")))))))</f>
        <v>X DF 2</v>
      </c>
      <c r="L22" s="183">
        <f>+MIN(H22,'Chem&amp;Phy data'!L13)</f>
        <v>0.7</v>
      </c>
      <c r="M22" s="152">
        <f>+MIN(J22,'Chem&amp;Phy data'!L13)</f>
        <v>0.7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71" ht="12.75">
      <c r="A23" s="169" t="str">
        <f>'SF&amp;RfD'!A14</f>
        <v>Fluoranthene</v>
      </c>
      <c r="B23" s="171"/>
      <c r="C23" s="154"/>
      <c r="D23" s="154" t="s">
        <v>83</v>
      </c>
      <c r="E23" s="154"/>
      <c r="F23" s="154">
        <f>(THQ*BWa*ATnni*365)/(EFni*EDni*(IRWa/'SF&amp;RfD'!G14))</f>
        <v>1.46</v>
      </c>
      <c r="G23" s="183">
        <f aca="true" t="shared" si="1" ref="G23:G35">IF(B23,B23,+MIN(C23:F23))</f>
        <v>1.46</v>
      </c>
      <c r="H23" s="183">
        <f>+MAX(G23,'Quantitation limits'!C14)</f>
        <v>1.46</v>
      </c>
      <c r="I23" s="170" t="str">
        <f>+IF(H23=B23,"MCL",IF(H23=C23,"C",IF(H23=D23,"C",IF(H23=E23,"N",IF(H23=F23,"N",IF(H23='Quantitation limits'!C14,"Q","?"))))))</f>
        <v>N</v>
      </c>
      <c r="J23" s="183">
        <f>+IF(I23="MCL",H23,IF(I23="C",H23,IF(I23="N",H23,IF(I23="Q",IF(G23*'Sd &amp; DAF Summers'!$C$40&gt;H23,G23,H23)))))</f>
        <v>1.46</v>
      </c>
      <c r="K23" s="170" t="str">
        <f>+IF(J23=B23,"X DF 2",IF(J23=C23,"X DF 2",IF(J23=D23,"X DF 2",IF(J23=E23,"X DF 2",IF(J23=F23,"X DF 2",IF(J23='Quantitation limits'!C14,"F",IF(J23*'Sd &amp; DAF Summers'!$C$40&gt;G23,"X DF 2","?")))))))</f>
        <v>X DF 2</v>
      </c>
      <c r="L23" s="183">
        <f>+MIN(H23,'Chem&amp;Phy data'!L14)</f>
        <v>0.206</v>
      </c>
      <c r="M23" s="152">
        <f>+MIN(J23,'Chem&amp;Phy data'!L14)</f>
        <v>0.206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ht="12.75">
      <c r="A24" s="169" t="str">
        <f>'SF&amp;RfD'!A15</f>
        <v>Fluorene</v>
      </c>
      <c r="B24" s="171"/>
      <c r="C24" s="154" t="s">
        <v>83</v>
      </c>
      <c r="D24" s="154"/>
      <c r="E24" s="154">
        <f>(THQ*BWa*ATnni*365)/(EFni*EDni*(((IRAa/'SF&amp;RfD'!I15)*Kw)+(IRWa/'SF&amp;RfD'!G15)))</f>
        <v>0.24333333333333335</v>
      </c>
      <c r="F24" s="170"/>
      <c r="G24" s="183">
        <f t="shared" si="1"/>
        <v>0.24333333333333335</v>
      </c>
      <c r="H24" s="183">
        <f>+MAX(G24,'Quantitation limits'!C15)</f>
        <v>0.24333333333333335</v>
      </c>
      <c r="I24" s="170" t="str">
        <f>+IF(H24=B24,"MCL",IF(H24=C24,"C",IF(H24=D24,"C",IF(H24=E24,"N",IF(H24=F24,"N",IF(H24='Quantitation limits'!C15,"Q","?"))))))</f>
        <v>N</v>
      </c>
      <c r="J24" s="183">
        <f>+IF(I24="MCL",H24,IF(I24="C",H24,IF(I24="N",H24,IF(I24="Q",IF(G24*'Sd &amp; DAF Summers'!$C$40&gt;H24,G24,H24)))))</f>
        <v>0.24333333333333335</v>
      </c>
      <c r="K24" s="170" t="str">
        <f>+IF(J24=B24,"X DF 2",IF(J24=C24,"X DF 2",IF(J24=D24,"X DF 2",IF(J24=E24,"X DF 2",IF(J24=F24,"X DF 2",IF(J24='Quantitation limits'!C15,"F",IF(J24*'Sd &amp; DAF Summers'!$C$40&gt;G24,"X DF 2","?")))))))</f>
        <v>X DF 2</v>
      </c>
      <c r="L24" s="183">
        <f>+MIN(H24,'Chem&amp;Phy data'!L15)</f>
        <v>0.24333333333333335</v>
      </c>
      <c r="M24" s="152">
        <f>+MIN(J24,'Chem&amp;Phy data'!L15)</f>
        <v>0.24333333333333335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ht="12.75">
      <c r="A25" s="169" t="str">
        <f>'SF&amp;RfD'!A16</f>
        <v>Indeno(1,2,3-cd)pyrene</v>
      </c>
      <c r="B25" s="171"/>
      <c r="C25" s="170"/>
      <c r="D25" s="154">
        <f>(TR*ATc*365)/(EFni*('SF&amp;RfD'!C16*IRWadj))</f>
        <v>9.090909090909089E-05</v>
      </c>
      <c r="E25" s="154"/>
      <c r="F25" s="154" t="s">
        <v>83</v>
      </c>
      <c r="G25" s="183">
        <f t="shared" si="1"/>
        <v>9.090909090909089E-05</v>
      </c>
      <c r="H25" s="183">
        <f>+MAX(G25,'Quantitation limits'!C16)</f>
        <v>0.0037</v>
      </c>
      <c r="I25" s="170" t="str">
        <f>+IF(H25=B25,"MCL",IF(H25=C25,"C",IF(H25=D25,"C",IF(H25=E25,"N",IF(H25=F25,"N",IF(H25='Quantitation limits'!C16,"Q","?"))))))</f>
        <v>Q</v>
      </c>
      <c r="J25" s="183">
        <f>+IF(I25="MCL",H25,IF(I25="C",H25,IF(I25="N",H25,IF(I25="Q",IF(G25*'Sd &amp; DAF Summers'!$C$40&gt;H25,G25,H25)))))</f>
        <v>9.090909090909089E-05</v>
      </c>
      <c r="K25" s="170" t="str">
        <f>+IF(J25=B25,"X DF 2",IF(J25=C25,"X DF 2",IF(J25=D25,"X DF 2",IF(J25=E25,"X DF 2",IF(J25=F25,"X DF 2",IF(J25='Quantitation limits'!C16,"F",IF(J25*'Sd &amp; DAF Summers'!$C$40&gt;G25,"X DF 2","?")))))))</f>
        <v>X DF 2</v>
      </c>
      <c r="L25" s="183">
        <f>+MIN(H25,'Chem&amp;Phy data'!L16)</f>
        <v>2.2E-05</v>
      </c>
      <c r="M25" s="152">
        <f>+MIN(J25,'Chem&amp;Phy data'!L16)</f>
        <v>2.2E-05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ht="12.75">
      <c r="A26" s="169" t="str">
        <f>'SF&amp;RfD'!A17</f>
        <v>Lead (inorganic)</v>
      </c>
      <c r="B26" s="171">
        <v>0.015</v>
      </c>
      <c r="C26" s="154"/>
      <c r="D26" s="154" t="s">
        <v>83</v>
      </c>
      <c r="E26" s="154"/>
      <c r="F26" s="154" t="s">
        <v>83</v>
      </c>
      <c r="G26" s="183">
        <f t="shared" si="1"/>
        <v>0.015</v>
      </c>
      <c r="H26" s="183">
        <f>+MAX(G26,'Quantitation limits'!C17)</f>
        <v>0.015</v>
      </c>
      <c r="I26" s="170" t="str">
        <f>+IF(H26=B26,"MCL",IF(H26=C26,"C",IF(H26=D26,"C",IF(H26=E26,"N",IF(H26=F26,"N",IF(H26='Quantitation limits'!C17,"Q","?"))))))</f>
        <v>MCL</v>
      </c>
      <c r="J26" s="183">
        <f>+IF(I26="MCL",H26,IF(I26="C",H26,IF(I26="N",H26,IF(I26="Q",IF(G26*'Sd &amp; DAF Summers'!$C$40&gt;H26,G26,H26)))))</f>
        <v>0.015</v>
      </c>
      <c r="K26" s="170" t="str">
        <f>+IF(J26=B26,"X DF 2",IF(J26=C26,"X DF 2",IF(J26=D26,"X DF 2",IF(J26=E26,"X DF 2",IF(J26=F26,"X DF 2",IF(J26='Quantitation limits'!C17,"F",IF(J26*'Sd &amp; DAF Summers'!$C$40&gt;G26,"X DF 2","?")))))))</f>
        <v>X DF 2</v>
      </c>
      <c r="L26" s="183">
        <f>+MIN(H26,'Chem&amp;Phy data'!L17)</f>
        <v>0.015</v>
      </c>
      <c r="M26" s="152">
        <f>+MIN(J26,'Chem&amp;Phy data'!L17)</f>
        <v>0.015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2.75">
      <c r="A27" s="169" t="str">
        <f>'SF&amp;RfD'!A18</f>
        <v>Methyl ethyl ketone</v>
      </c>
      <c r="B27" s="171"/>
      <c r="C27" s="154" t="s">
        <v>83</v>
      </c>
      <c r="D27" s="154"/>
      <c r="E27" s="154">
        <f>(THQ*BWa*ATnni*365)/(EFni*EDni*(((IRAa/'SF&amp;RfD'!I18)*Kw)+(IRWa/'SF&amp;RfD'!G18)))</f>
        <v>1.906086427267194</v>
      </c>
      <c r="F27" s="170"/>
      <c r="G27" s="183">
        <f t="shared" si="1"/>
        <v>1.906086427267194</v>
      </c>
      <c r="H27" s="183">
        <f>+MAX(G27,'Quantitation limits'!C18)</f>
        <v>1.906086427267194</v>
      </c>
      <c r="I27" s="170" t="str">
        <f>+IF(H27=B27,"MCL",IF(H27=C27,"C",IF(H27=D27,"C",IF(H27=E27,"N",IF(H27=F27,"N",IF(H27='Quantitation limits'!C18,"Q","?"))))))</f>
        <v>N</v>
      </c>
      <c r="J27" s="183">
        <f>+IF(I27="MCL",H27,IF(I27="C",H27,IF(I27="N",H27,IF(I27="Q",IF(G27*'Sd &amp; DAF Summers'!$C$40&gt;H27,G27,H27)))))</f>
        <v>1.906086427267194</v>
      </c>
      <c r="K27" s="170" t="str">
        <f>+IF(J27=B27,"X DF 2",IF(J27=C27,"X DF 2",IF(J27=D27,"X DF 2",IF(J27=E27,"X DF 2",IF(J27=F27,"X DF 2",IF(J27='Quantitation limits'!C18,"F",IF(J27*'Sd &amp; DAF Summers'!$C$40&gt;G27,"X DF 2","?")))))))</f>
        <v>X DF 2</v>
      </c>
      <c r="L27" s="183">
        <f>+MIN(H27,'Chem&amp;Phy data'!L18)</f>
        <v>1.906086427267194</v>
      </c>
      <c r="M27" s="152">
        <f>+MIN(J27,'Chem&amp;Phy data'!L18)</f>
        <v>1.906086427267194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ht="12.75">
      <c r="A28" s="169" t="str">
        <f>'SF&amp;RfD'!A19</f>
        <v>Methyl isobutyl ketone</v>
      </c>
      <c r="B28" s="171"/>
      <c r="C28" s="154" t="s">
        <v>83</v>
      </c>
      <c r="D28" s="154"/>
      <c r="E28" s="154">
        <f>(THQ*BWa*ATnni*365)/(EFni*EDni*(((IRAa/'SF&amp;RfD'!I19)*Kw)+(IRWa/'SF&amp;RfD'!G19)))</f>
        <v>1.9930158730158731</v>
      </c>
      <c r="F28" s="170"/>
      <c r="G28" s="183">
        <f t="shared" si="1"/>
        <v>1.9930158730158731</v>
      </c>
      <c r="H28" s="183">
        <f>+MAX(G28,'Quantitation limits'!C19)</f>
        <v>1.9930158730158731</v>
      </c>
      <c r="I28" s="170" t="str">
        <f>+IF(H28=B28,"MCL",IF(H28=C28,"C",IF(H28=D28,"C",IF(H28=E28,"N",IF(H28=F28,"N",IF(H28='Quantitation limits'!C19,"Q","?"))))))</f>
        <v>N</v>
      </c>
      <c r="J28" s="183">
        <f>+IF(I28="MCL",H28,IF(I28="C",H28,IF(I28="N",H28,IF(I28="Q",IF(G28*'Sd &amp; DAF Summers'!$C$40&gt;H28,G28,H28)))))</f>
        <v>1.9930158730158731</v>
      </c>
      <c r="K28" s="170" t="str">
        <f>+IF(J28=B28,"X DF 2",IF(J28=C28,"X DF 2",IF(J28=D28,"X DF 2",IF(J28=E28,"X DF 2",IF(J28=F28,"X DF 2",IF(J28='Quantitation limits'!C19,"F",IF(J28*'Sd &amp; DAF Summers'!$C$40&gt;G28,"X DF 2","?")))))))</f>
        <v>X DF 2</v>
      </c>
      <c r="L28" s="183">
        <f>+MIN(H28,'Chem&amp;Phy data'!L19)</f>
        <v>1.9930158730158731</v>
      </c>
      <c r="M28" s="152">
        <f>+MIN(J28,'Chem&amp;Phy data'!L19)</f>
        <v>1.9930158730158731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ht="12.75">
      <c r="A29" s="169" t="str">
        <f>'SF&amp;RfD'!A20</f>
        <v>Methylnaphthalene,2-</v>
      </c>
      <c r="B29" s="171"/>
      <c r="C29" s="154" t="s">
        <v>83</v>
      </c>
      <c r="D29" s="154"/>
      <c r="E29" s="154">
        <f>(THQ*BWa*ATnni*365)/(EFni*EDni*(((IRAa/'SF&amp;RfD'!I20)*Kw)+(IRWa/'SF&amp;RfD'!G20)))</f>
        <v>0.0062244695617687884</v>
      </c>
      <c r="F29" s="170"/>
      <c r="G29" s="183">
        <f>IF(B29,B29,+MIN(C29:F29))</f>
        <v>0.0062244695617687884</v>
      </c>
      <c r="H29" s="183">
        <f>+MAX(G29,'Quantitation limits'!C20)</f>
        <v>0.0062244695617687884</v>
      </c>
      <c r="I29" s="170" t="str">
        <f>+IF(H29=B29,"MCL",IF(H29=C29,"C",IF(H29=D29,"C",IF(H29=E29,"N",IF(H29=F29,"N",IF(H29='Quantitation limits'!C20,"Q","?"))))))</f>
        <v>N</v>
      </c>
      <c r="J29" s="183">
        <f>+IF(I29="MCL",H29,IF(I29="C",H29,IF(I29="N",H29,IF(I29="Q",IF(G29*'Sd &amp; DAF Summers'!$C$40&gt;H29,G29,H29)))))</f>
        <v>0.0062244695617687884</v>
      </c>
      <c r="K29" s="170" t="str">
        <f>+IF(J29=B29,"X DF 2",IF(J29=C29,"X DF 2",IF(J29=D29,"X DF 2",IF(J29=E29,"X DF 2",IF(J29=F29,"X DF 2",IF(J29='Quantitation limits'!C20,"F",IF(J29*'Sd &amp; DAF Summers'!$C$40&gt;G29,"X DF 2","?")))))))</f>
        <v>X DF 2</v>
      </c>
      <c r="L29" s="183">
        <f>+MIN(H29,'Chem&amp;Phy data'!L20)</f>
        <v>0.0062244695617687884</v>
      </c>
      <c r="M29" s="152">
        <f>+MIN(J29,'Chem&amp;Phy data'!L20)</f>
        <v>0.0062244695617687884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ht="12.75">
      <c r="A30" s="169" t="str">
        <f>'SF&amp;RfD'!A21</f>
        <v>MTBE (methyl tert-butyl ether)</v>
      </c>
      <c r="B30" s="171">
        <v>0.02</v>
      </c>
      <c r="C30" s="154" t="s">
        <v>83</v>
      </c>
      <c r="D30" s="154"/>
      <c r="E30" s="154">
        <f>(THQ*BWa*ATnni*365)/(EFni*EDni*(((IRAa/'SF&amp;RfD'!I21)*Kw)+(IRWa/'SF&amp;RfD'!G21)))</f>
        <v>5.213416666666666</v>
      </c>
      <c r="F30" s="170"/>
      <c r="G30" s="183">
        <f t="shared" si="1"/>
        <v>0.02</v>
      </c>
      <c r="H30" s="183">
        <f>+MAX(G30,'Quantitation limits'!C21)</f>
        <v>0.02</v>
      </c>
      <c r="I30" s="170" t="s">
        <v>84</v>
      </c>
      <c r="J30" s="183">
        <f>+IF(I30="T",H30,IF(I30="MCL",H30,IF(I30="C",H30,IF(I30="N",H30,IF(I30="Q",IF(G30*'Sd &amp; DAF Summers'!$C$40&gt;H30,G30,H30))))))</f>
        <v>0.02</v>
      </c>
      <c r="K30" s="170" t="str">
        <f>+IF(J30=B30,"X DF 2",IF(J30=C30,"X DF 2",IF(J30=D30,"X DF 2",IF(J30=E30,"X DF 2",IF(J30=F30,"X DF 2",IF(J30='Quantitation limits'!C21,"F",IF(J30*'Sd &amp; DAF Summers'!$C$40&gt;G30,"X DF 2","?")))))))</f>
        <v>X DF 2</v>
      </c>
      <c r="L30" s="183">
        <f>+MIN(H30,'Chem&amp;Phy data'!L21)</f>
        <v>0.02</v>
      </c>
      <c r="M30" s="152">
        <f>+MIN(J30,'Chem&amp;Phy data'!L21)</f>
        <v>0.02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ht="12.75">
      <c r="A31" s="169" t="str">
        <f>'SF&amp;RfD'!A22</f>
        <v>Naphthalene</v>
      </c>
      <c r="B31" s="171"/>
      <c r="C31" s="154" t="s">
        <v>83</v>
      </c>
      <c r="D31" s="154"/>
      <c r="E31" s="154">
        <f>(THQ*BWa*ATnni*365)/(EFni*EDni*(((IRAa/'SF&amp;RfD'!I22)*Kw)+(IRWa/'SF&amp;RfD'!G22)))</f>
        <v>0.0062244695617687884</v>
      </c>
      <c r="F31" s="154"/>
      <c r="G31" s="183">
        <f t="shared" si="1"/>
        <v>0.0062244695617687884</v>
      </c>
      <c r="H31" s="183">
        <f>+MAX(G31,'Quantitation limits'!C22)</f>
        <v>0.01</v>
      </c>
      <c r="I31" s="170" t="str">
        <f>+IF(H31=B31,"MCL",IF(H31=C31,"C",IF(H31=D31,"C",IF(H31=E31,"N",IF(H31=F31,"N",IF(H31='Quantitation limits'!C22,"Q","?"))))))</f>
        <v>Q</v>
      </c>
      <c r="J31" s="183">
        <f>+IF(I31="MCL",H31,IF(I31="C",H31,IF(I31="N",H31,IF(I31="Q",IF(G31*'Sd &amp; DAF Summers'!$C$40&gt;H31,G31,H31)))))</f>
        <v>0.0062244695617687884</v>
      </c>
      <c r="K31" s="170" t="str">
        <f>+IF(J31=B31,"X DF 2",IF(J31=C31,"X DF 2",IF(J31=D31,"X DF 2",IF(J31=E31,"X DF 2",IF(J31=F31,"X DF 2",IF(J31='Quantitation limits'!C22,"F",IF(J31*'Sd &amp; DAF Summers'!$C$40&gt;G31,"X DF 2","?")))))))</f>
        <v>X DF 2</v>
      </c>
      <c r="L31" s="183">
        <f>+MIN(H31,'Chem&amp;Phy data'!L22)</f>
        <v>0.01</v>
      </c>
      <c r="M31" s="152">
        <f>+MIN(J31,'Chem&amp;Phy data'!L22)</f>
        <v>0.0062244695617687884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ht="12.75">
      <c r="A32" s="169" t="str">
        <f>'SF&amp;RfD'!A23</f>
        <v>Phenanthrene</v>
      </c>
      <c r="B32" s="171"/>
      <c r="C32" s="154" t="s">
        <v>83</v>
      </c>
      <c r="D32" s="154"/>
      <c r="E32" s="154">
        <f>(THQ*BWa*ATnni*365)/(EFni*EDni*(((IRAa/'SF&amp;RfD'!I23)*Kw)+(IRWa/'SF&amp;RfD'!G23)))</f>
        <v>1.825</v>
      </c>
      <c r="F32" s="154"/>
      <c r="G32" s="183">
        <f>IF(B32,B32,+MIN(C32:F32))</f>
        <v>1.825</v>
      </c>
      <c r="H32" s="183">
        <f>+MAX(G32,'Quantitation limits'!C23)</f>
        <v>1.825</v>
      </c>
      <c r="I32" s="170" t="str">
        <f>+IF(H32=B32,"MCL",IF(H32=C32,"C",IF(H32=D32,"C",IF(H32=E32,"N",IF(H32=F32,"N",IF(H32='Quantitation limits'!C23,"Q","?"))))))</f>
        <v>N</v>
      </c>
      <c r="J32" s="183">
        <f>+IF(I32="MCL",H32,IF(I32="C",H32,IF(I32="N",H32,IF(I32="Q",IF(G32*'Sd &amp; DAF Summers'!$C$40&gt;H32,G32,H32)))))</f>
        <v>1.825</v>
      </c>
      <c r="K32" s="170" t="str">
        <f>+IF(J32=B32,"X DF 2",IF(J32=C32,"X DF 2",IF(J32=D32,"X DF 2",IF(J32=E32,"X DF 2",IF(J32=F32,"X DF 2",IF(J32='Quantitation limits'!C23,"F",IF(J32*'Sd &amp; DAF Summers'!$C$40&gt;G32,"X DF 2","?")))))))</f>
        <v>X DF 2</v>
      </c>
      <c r="L32" s="183">
        <f>+MIN(H32,'Chem&amp;Phy data'!L23)</f>
        <v>1.15</v>
      </c>
      <c r="M32" s="152">
        <f>+MIN(J32,'Chem&amp;Phy data'!L23)</f>
        <v>1.15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ht="12.75">
      <c r="A33" s="169" t="str">
        <f>'SF&amp;RfD'!A24</f>
        <v>Pyrene</v>
      </c>
      <c r="B33" s="171"/>
      <c r="C33" s="154" t="s">
        <v>83</v>
      </c>
      <c r="D33" s="154"/>
      <c r="E33" s="154">
        <f>(THQ*BWa*ATnni*365)/(EFni*EDni*(((IRAa/'SF&amp;RfD'!I24)*Kw)+(IRWa/'SF&amp;RfD'!G24)))</f>
        <v>0.18249999999999997</v>
      </c>
      <c r="F33" s="170"/>
      <c r="G33" s="183">
        <f t="shared" si="1"/>
        <v>0.18249999999999997</v>
      </c>
      <c r="H33" s="183">
        <f>+MAX(G33,'Quantitation limits'!C24)</f>
        <v>0.18249999999999997</v>
      </c>
      <c r="I33" s="170" t="str">
        <f>+IF(H33=B33,"MCL",IF(H33=C33,"C",IF(H33=D33,"C",IF(H33=E33,"N",IF(H33=F33,"N",IF(H33='Quantitation limits'!C24,"Q","?"))))))</f>
        <v>N</v>
      </c>
      <c r="J33" s="183">
        <f>+IF(I33="MCL",H33,IF(I33="C",H33,IF(I33="N",H33,IF(I33="Q",IF(G33*'Sd &amp; DAF Summers'!$C$40&gt;H33,G33,H33)))))</f>
        <v>0.18249999999999997</v>
      </c>
      <c r="K33" s="170" t="str">
        <f>+IF(J33=B33,"X DF 2",IF(J33=C33,"X DF 2",IF(J33=D33,"X DF 2",IF(J33=E33,"X DF 2",IF(J33=F33,"X DF 2",IF(J33='Quantitation limits'!C24,"F",IF(J33*'Sd &amp; DAF Summers'!$C$40&gt;G33,"X DF 2","?")))))))</f>
        <v>X DF 2</v>
      </c>
      <c r="L33" s="183">
        <f>+MIN(H33,'Chem&amp;Phy data'!L24)</f>
        <v>0.135</v>
      </c>
      <c r="M33" s="152">
        <f>+MIN(J33,'Chem&amp;Phy data'!L24)</f>
        <v>0.135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ht="12.75">
      <c r="A34" s="169" t="str">
        <f>'SF&amp;RfD'!A25</f>
        <v>Toluene</v>
      </c>
      <c r="B34" s="171">
        <v>1</v>
      </c>
      <c r="C34" s="154" t="s">
        <v>83</v>
      </c>
      <c r="D34" s="154"/>
      <c r="E34" s="154">
        <f>(THQ*BWa*ATnni*365)/(EFni*EDni*(((IRAa/'SF&amp;RfD'!I25)*Kw)+(IRWa/'SF&amp;RfD'!G25)))</f>
        <v>0.7470377019748654</v>
      </c>
      <c r="F34" s="170"/>
      <c r="G34" s="183">
        <f t="shared" si="1"/>
        <v>1</v>
      </c>
      <c r="H34" s="183">
        <f>+MAX(G34,'Quantitation limits'!C25)</f>
        <v>1</v>
      </c>
      <c r="I34" s="170" t="str">
        <f>+IF(H34=B34,"MCL",IF(H34=C34,"C",IF(H34=D34,"C",IF(H34=E34,"N",IF(H34=F34,"N",IF(H34='Quantitation limits'!C25,"Q","?"))))))</f>
        <v>MCL</v>
      </c>
      <c r="J34" s="183">
        <f>+IF(I34="MCL",H34,IF(I34="C",H34,IF(I34="N",H34,IF(I34="Q",IF(G34*'Sd &amp; DAF Summers'!$C$40&gt;H34,G34,H34)))))</f>
        <v>1</v>
      </c>
      <c r="K34" s="170" t="str">
        <f>+IF(J34=B34,"X DF 2",IF(J34=C34,"X DF 2",IF(J34=D34,"X DF 2",IF(J34=E34,"X DF 2",IF(J34=F34,"X DF 2",IF(J34='Quantitation limits'!C25,"F",IF(J34*'Sd &amp; DAF Summers'!$C$40&gt;G34,"X DF 2","?")))))))</f>
        <v>X DF 2</v>
      </c>
      <c r="L34" s="183">
        <f>+MIN(H34,'Chem&amp;Phy data'!L25)</f>
        <v>1</v>
      </c>
      <c r="M34" s="152">
        <f>+MIN(J34,'Chem&amp;Phy data'!L25)</f>
        <v>1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ht="12.75">
      <c r="A35" s="169" t="str">
        <f>'SF&amp;RfD'!A26</f>
        <v>Xylene(mixed)</v>
      </c>
      <c r="B35" s="171">
        <v>10</v>
      </c>
      <c r="C35" s="154" t="s">
        <v>83</v>
      </c>
      <c r="D35" s="154"/>
      <c r="E35" s="154">
        <f>(THQ*BWa*ATnni*365)/(EFni*EDni*(((IRAa/'SF&amp;RfD'!I26)*Kw)+(IRWa/'SF&amp;RfD'!G26)))</f>
        <v>0.2057337220602527</v>
      </c>
      <c r="F35" s="170"/>
      <c r="G35" s="183">
        <f t="shared" si="1"/>
        <v>10</v>
      </c>
      <c r="H35" s="183">
        <f>+MAX(G35,'Quantitation limits'!C26)</f>
        <v>10</v>
      </c>
      <c r="I35" s="170" t="str">
        <f>+IF(H35=B35,"MCL",IF(H35=C35,"C",IF(H35=D35,"C",IF(H35=E35,"N",IF(H35=F35,"N",IF(H35='Quantitation limits'!C26,"Q","?"))))))</f>
        <v>MCL</v>
      </c>
      <c r="J35" s="183">
        <f>+IF(I35="MCL",H35,IF(I35="C",H35,IF(I35="N",H35,IF(I35="Q",IF(G35*'Sd &amp; DAF Summers'!$C$40&gt;H35,G35,H35)))))</f>
        <v>10</v>
      </c>
      <c r="K35" s="170" t="str">
        <f>+IF(J35=B35,"X DF 2",IF(J35=C35,"X DF 2",IF(J35=D35,"X DF 2",IF(J35=E35,"X DF 2",IF(J35=F35,"X DF 2",IF(J35='Quantitation limits'!C26,"F",IF(J35*'Sd &amp; DAF Summers'!$C$40&gt;G35,"X DF 2","?")))))))</f>
        <v>X DF 2</v>
      </c>
      <c r="L35" s="183">
        <f>+MIN(H35,'Chem&amp;Phy data'!L26)</f>
        <v>10</v>
      </c>
      <c r="M35" s="152">
        <f>+MIN(J35,'Chem&amp;Phy data'!L26)</f>
        <v>10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ht="12.75">
      <c r="A36" s="169" t="str">
        <f>'SF&amp;RfD'!A27</f>
        <v>Aliphatics C6-C8</v>
      </c>
      <c r="B36" s="171"/>
      <c r="C36" s="154" t="s">
        <v>83</v>
      </c>
      <c r="D36" s="154"/>
      <c r="E36" s="154">
        <f>(THQ*BWa*ATnni*365)/(EFni*EDni*(((IRAa/'SF&amp;RfD'!I27)*Kw)+(IRWa/'SF&amp;RfD'!G27)))</f>
        <v>31.922442244224424</v>
      </c>
      <c r="F36" s="170"/>
      <c r="G36" s="183">
        <f aca="true" t="shared" si="2" ref="G36:G45">IF(B36,B36,+MIN(C36:F36))</f>
        <v>31.922442244224424</v>
      </c>
      <c r="H36" s="183">
        <f>+MAX(G36,'Quantitation limits'!C27)</f>
        <v>31.922442244224424</v>
      </c>
      <c r="I36" s="170" t="str">
        <f>+IF(H36=B36,"MCL",IF(H36=C36,"C",IF(H36=D36,"C",IF(H36=E36,"N",IF(H36=F36,"N",IF(H36='Quantitation limits'!C27,"Q","?"))))))</f>
        <v>N</v>
      </c>
      <c r="J36" s="183">
        <f>+IF(I36="MCL",H36,IF(I36="C",H36,IF(I36="N",H36,IF(I36="Q",IF(G36*'Sd &amp; DAF Summers'!$C$40&gt;H36,G36,H36)))))</f>
        <v>31.922442244224424</v>
      </c>
      <c r="K36" s="170" t="str">
        <f>+IF(J36=B36,"X DF 2",IF(J36=C36,"X DF 2",IF(J36=D36,"X DF 2",IF(J36=E36,"X DF 2",IF(J36=F36,"X DF 2",IF(J36='Quantitation limits'!C27,"F",IF(J36*'Sd &amp; DAF Summers'!$C$40&gt;G36,"X DF 2","?")))))))</f>
        <v>X DF 2</v>
      </c>
      <c r="L36" s="183">
        <f>+MIN(H36,'Chem&amp;Phy data'!L27)</f>
        <v>31.922442244224424</v>
      </c>
      <c r="M36" s="152">
        <f>+MIN(J36,'Chem&amp;Phy data'!L27)</f>
        <v>31.922442244224424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ht="12.75">
      <c r="A37" s="169" t="str">
        <f>'SF&amp;RfD'!A28</f>
        <v>Aliphatics &gt;C8-C10</v>
      </c>
      <c r="B37" s="171"/>
      <c r="C37" s="154" t="s">
        <v>83</v>
      </c>
      <c r="D37" s="154"/>
      <c r="E37" s="154">
        <f>(THQ*BWa*ATnni*365)/(EFni*EDni*(((IRAa/'SF&amp;RfD'!I28)*Kw)+(IRWa/'SF&amp;RfD'!G28)))</f>
        <v>1.339873417721519</v>
      </c>
      <c r="F37" s="170"/>
      <c r="G37" s="183">
        <f t="shared" si="2"/>
        <v>1.339873417721519</v>
      </c>
      <c r="H37" s="183">
        <f>+MAX(G37,'Quantitation limits'!C28)</f>
        <v>1.339873417721519</v>
      </c>
      <c r="I37" s="170" t="str">
        <f>+IF(H37=B37,"MCL",IF(H37=C37,"C",IF(H37=D37,"C",IF(H37=E37,"N",IF(H37=F37,"N",IF(H37='Quantitation limits'!C28,"Q","?"))))))</f>
        <v>N</v>
      </c>
      <c r="J37" s="183">
        <f>+IF(I37="MCL",H37,IF(I37="C",H37,IF(I37="N",H37,IF(I37="Q",IF(G37*'Sd &amp; DAF Summers'!$C$40&gt;H37,G37,H37)))))</f>
        <v>1.339873417721519</v>
      </c>
      <c r="K37" s="170" t="str">
        <f>+IF(J37=B37,"X DF 2",IF(J37=C37,"X DF 2",IF(J37=D37,"X DF 2",IF(J37=E37,"X DF 2",IF(J37=F37,"X DF 2",IF(J37='Quantitation limits'!C28,"F",IF(J37*'Sd &amp; DAF Summers'!$C$40&gt;G37,"X DF 2","?")))))))</f>
        <v>X DF 2</v>
      </c>
      <c r="L37" s="183">
        <f>+MIN(H37,'Chem&amp;Phy data'!L28)</f>
        <v>1.339873417721519</v>
      </c>
      <c r="M37" s="152">
        <f>+MIN(J37,'Chem&amp;Phy data'!L28)</f>
        <v>1.339873417721519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ht="12.75">
      <c r="A38" s="169" t="str">
        <f>'SF&amp;RfD'!A29</f>
        <v>Aliphatics &gt;C10-C12</v>
      </c>
      <c r="B38" s="171"/>
      <c r="C38" s="154" t="s">
        <v>83</v>
      </c>
      <c r="D38" s="154"/>
      <c r="E38" s="154">
        <f>(THQ*BWa*ATnni*365)/(EFni*EDni*(((IRAa/'SF&amp;RfD'!I29)*Kw)+(IRWa/'SF&amp;RfD'!G29)))</f>
        <v>1.36875</v>
      </c>
      <c r="F38" s="170"/>
      <c r="G38" s="183">
        <f t="shared" si="2"/>
        <v>1.36875</v>
      </c>
      <c r="H38" s="183">
        <f>+MAX(G38,'Quantitation limits'!C29)</f>
        <v>1.36875</v>
      </c>
      <c r="I38" s="170" t="str">
        <f>+IF(H38=B38,"MCL",IF(H38=C38,"C",IF(H38=D38,"C",IF(H38=E38,"N",IF(H38=F38,"N",IF(H38='Quantitation limits'!C29,"Q","?"))))))</f>
        <v>N</v>
      </c>
      <c r="J38" s="183">
        <f>+IF(I38="MCL",H38,IF(I38="C",H38,IF(I38="N",H38,IF(I38="Q",IF(G38*'Sd &amp; DAF Summers'!$C$40&gt;H38,G38,H38)))))</f>
        <v>1.36875</v>
      </c>
      <c r="K38" s="170" t="str">
        <f>+IF(J38=B38,"X DF 2",IF(J38=C38,"X DF 2",IF(J38=D38,"X DF 2",IF(J38=E38,"X DF 2",IF(J38=F38,"X DF 2",IF(J38='Quantitation limits'!C29,"F",IF(J38*'Sd &amp; DAF Summers'!$C$40&gt;G38,"X DF 2","?")))))))</f>
        <v>X DF 2</v>
      </c>
      <c r="L38" s="183">
        <f>+MIN(H38,'Chem&amp;Phy data'!L29)</f>
        <v>1.36875</v>
      </c>
      <c r="M38" s="152">
        <f>+MIN(J38,'Chem&amp;Phy data'!L29)</f>
        <v>1.36875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ht="12.75">
      <c r="A39" s="169" t="str">
        <f>'SF&amp;RfD'!A30</f>
        <v>Aliphatics &gt;C12-C16</v>
      </c>
      <c r="B39" s="171"/>
      <c r="C39" s="154" t="s">
        <v>83</v>
      </c>
      <c r="D39" s="154"/>
      <c r="E39" s="154">
        <f>(THQ*BWa*ATnni*365)/(EFni*EDni*(((IRAa/'SF&amp;RfD'!I30)*Kw)+(IRWa/'SF&amp;RfD'!G30)))</f>
        <v>1.36875</v>
      </c>
      <c r="F39" s="170"/>
      <c r="G39" s="183">
        <f t="shared" si="2"/>
        <v>1.36875</v>
      </c>
      <c r="H39" s="183">
        <f>+MAX(G39,'Quantitation limits'!C30)</f>
        <v>1.36875</v>
      </c>
      <c r="I39" s="170" t="str">
        <f>+IF(H39=B39,"MCL",IF(H39=C39,"C",IF(H39=D39,"C",IF(H39=E39,"N",IF(H39=F39,"N",IF(H39='Quantitation limits'!C30,"Q","?"))))))</f>
        <v>N</v>
      </c>
      <c r="J39" s="183">
        <f>+IF(I39="MCL",H39,IF(I39="C",H39,IF(I39="N",H39,IF(I39="Q",IF(G39*'Sd &amp; DAF Summers'!$C$40&gt;H39,G39,H39)))))</f>
        <v>1.36875</v>
      </c>
      <c r="K39" s="170" t="str">
        <f>+IF(J39=B39,"X DF 2",IF(J39=C39,"X DF 2",IF(J39=D39,"X DF 2",IF(J39=E39,"X DF 2",IF(J39=F39,"X DF 2",IF(J39='Quantitation limits'!C30,"F",IF(J39*'Sd &amp; DAF Summers'!$C$40&gt;G39,"X DF 2","?")))))))</f>
        <v>X DF 2</v>
      </c>
      <c r="L39" s="183">
        <f>+MIN(H39,'Chem&amp;Phy data'!L30)</f>
        <v>1.36875</v>
      </c>
      <c r="M39" s="152">
        <f>+MIN(J39,'Chem&amp;Phy data'!L30)</f>
        <v>1.36875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ht="12.75">
      <c r="A40" s="169" t="str">
        <f>'SF&amp;RfD'!A31</f>
        <v>Aliphatics &gt;C16-C35</v>
      </c>
      <c r="B40" s="171"/>
      <c r="C40" s="154"/>
      <c r="D40" s="154" t="s">
        <v>83</v>
      </c>
      <c r="E40" s="170"/>
      <c r="F40" s="154">
        <f>(THQ*BWa*ATnni*365)/(EFni*EDni*(IRWa/'SF&amp;RfD'!G31))</f>
        <v>73</v>
      </c>
      <c r="G40" s="183">
        <f t="shared" si="2"/>
        <v>73</v>
      </c>
      <c r="H40" s="183">
        <f>+MAX(G40,'Quantitation limits'!C31)</f>
        <v>73</v>
      </c>
      <c r="I40" s="170" t="str">
        <f>+IF(H40=B40,"MCL",IF(H40=C40,"C",IF(H40=D40,"C",IF(H40=E40,"N",IF(H40=F40,"N",IF(H40='Quantitation limits'!C31,"Q","?"))))))</f>
        <v>N</v>
      </c>
      <c r="J40" s="183">
        <f>+IF(I40="MCL",H40,IF(I40="C",H40,IF(I40="N",H40,IF(I40="Q",IF(G40*'Sd &amp; DAF Summers'!$C$40&gt;H40,G40,H40)))))</f>
        <v>73</v>
      </c>
      <c r="K40" s="170" t="str">
        <f>+IF(J40=B40,"X DF 2",IF(J40=C40,"X DF 2",IF(J40=D40,"X DF 2",IF(J40=E40,"X DF 2",IF(J40=F40,"X DF 2",IF(J40='Quantitation limits'!C31,"F",IF(J40*'Sd &amp; DAF Summers'!$C$40&gt;G40,"X DF 2","?")))))))</f>
        <v>X DF 2</v>
      </c>
      <c r="L40" s="183">
        <f>+MIN(H40,'Chem&amp;Phy data'!L31)</f>
        <v>73</v>
      </c>
      <c r="M40" s="152">
        <f>+MIN(J40,'Chem&amp;Phy data'!L31)</f>
        <v>73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ht="12.75">
      <c r="A41" s="169" t="str">
        <f>'SF&amp;RfD'!A32</f>
        <v>Aromatics &gt;C8-C10</v>
      </c>
      <c r="B41" s="171"/>
      <c r="C41" s="154" t="s">
        <v>83</v>
      </c>
      <c r="D41" s="154"/>
      <c r="E41" s="154">
        <f>(THQ*BWa*ATnni*365)/(EFni*EDni*(((IRAa/'SF&amp;RfD'!I32)*Kw)+(IRWa/'SF&amp;RfD'!G32)))</f>
        <v>0.33692307692307694</v>
      </c>
      <c r="F41" s="170"/>
      <c r="G41" s="183">
        <f t="shared" si="2"/>
        <v>0.33692307692307694</v>
      </c>
      <c r="H41" s="183">
        <f>+MAX(G41,'Quantitation limits'!C32)</f>
        <v>0.33692307692307694</v>
      </c>
      <c r="I41" s="170" t="str">
        <f>+IF(H41=B41,"MCL",IF(H41=C41,"C",IF(H41=D41,"C",IF(H41=E41,"N",IF(H41=F41,"N",IF(H41='Quantitation limits'!C32,"Q","?"))))))</f>
        <v>N</v>
      </c>
      <c r="J41" s="183">
        <f>+IF(I41="MCL",H41,IF(I41="C",H41,IF(I41="N",H41,IF(I41="Q",IF(G41*'Sd &amp; DAF Summers'!$C$40&gt;H41,G41,H41)))))</f>
        <v>0.33692307692307694</v>
      </c>
      <c r="K41" s="170" t="str">
        <f>+IF(J41=B41,"X DF 2",IF(J41=C41,"X DF 2",IF(J41=D41,"X DF 2",IF(J41=E41,"X DF 2",IF(J41=F41,"X DF 2",IF(J41='Quantitation limits'!C32,"F",IF(J41*'Sd &amp; DAF Summers'!$C$40&gt;G41,"X DF 2","?")))))))</f>
        <v>X DF 2</v>
      </c>
      <c r="L41" s="183">
        <f>+MIN(H41,'Chem&amp;Phy data'!L32)</f>
        <v>0.33692307692307694</v>
      </c>
      <c r="M41" s="152">
        <f>+MIN(J41,'Chem&amp;Phy data'!L32)</f>
        <v>0.33692307692307694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ht="12.75">
      <c r="A42" s="169" t="str">
        <f>'SF&amp;RfD'!A33</f>
        <v>Aromatics &gt;C10-C12</v>
      </c>
      <c r="B42" s="171"/>
      <c r="C42" s="154" t="s">
        <v>83</v>
      </c>
      <c r="D42" s="154"/>
      <c r="E42" s="154">
        <f>(THQ*BWa*ATnni*365)/(EFni*EDni*(((IRAa/'SF&amp;RfD'!I33)*Kw)+(IRWa/'SF&amp;RfD'!G33)))</f>
        <v>0.33692307692307694</v>
      </c>
      <c r="F42" s="170"/>
      <c r="G42" s="183">
        <f t="shared" si="2"/>
        <v>0.33692307692307694</v>
      </c>
      <c r="H42" s="183">
        <f>+MAX(G42,'Quantitation limits'!C33)</f>
        <v>0.33692307692307694</v>
      </c>
      <c r="I42" s="170" t="str">
        <f>+IF(H42=B42,"MCL",IF(H42=C42,"C",IF(H42=D42,"C",IF(H42=E42,"N",IF(H42=F42,"N",IF(H42='Quantitation limits'!C33,"Q","?"))))))</f>
        <v>N</v>
      </c>
      <c r="J42" s="183">
        <f>+IF(I42="MCL",H42,IF(I42="C",H42,IF(I42="N",H42,IF(I42="Q",IF(G42*'Sd &amp; DAF Summers'!$C$40&gt;H42,G42,H42)))))</f>
        <v>0.33692307692307694</v>
      </c>
      <c r="K42" s="170" t="str">
        <f>+IF(J42=B42,"X DF 2",IF(J42=C42,"X DF 2",IF(J42=D42,"X DF 2",IF(J42=E42,"X DF 2",IF(J42=F42,"X DF 2",IF(J42='Quantitation limits'!C33,"F",IF(J42*'Sd &amp; DAF Summers'!$C$40&gt;G42,"X DF 2","?")))))))</f>
        <v>X DF 2</v>
      </c>
      <c r="L42" s="183">
        <f>+MIN(H42,'Chem&amp;Phy data'!L33)</f>
        <v>0.33692307692307694</v>
      </c>
      <c r="M42" s="152">
        <f>+MIN(J42,'Chem&amp;Phy data'!L33)</f>
        <v>0.33692307692307694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ht="12.75">
      <c r="A43" s="169" t="str">
        <f>'SF&amp;RfD'!A34</f>
        <v>Aromatics &gt;C12-C16</v>
      </c>
      <c r="B43" s="171"/>
      <c r="C43" s="154" t="s">
        <v>83</v>
      </c>
      <c r="D43" s="154"/>
      <c r="E43" s="154">
        <f>(THQ*BWa*ATnni*365)/(EFni*EDni*(((IRAa/'SF&amp;RfD'!I34)*Kw)+(IRWa/'SF&amp;RfD'!G34)))</f>
        <v>0.33692307692307694</v>
      </c>
      <c r="F43" s="170"/>
      <c r="G43" s="183">
        <f t="shared" si="2"/>
        <v>0.33692307692307694</v>
      </c>
      <c r="H43" s="183">
        <f>+MAX(G43,'Quantitation limits'!C34)</f>
        <v>0.33692307692307694</v>
      </c>
      <c r="I43" s="170" t="str">
        <f>+IF(H43=B43,"MCL",IF(H43=C43,"C",IF(H43=D43,"C",IF(H43=E43,"N",IF(H43=F43,"N",IF(H43='Quantitation limits'!C34,"Q","?"))))))</f>
        <v>N</v>
      </c>
      <c r="J43" s="183">
        <f>+IF(I43="MCL",H43,IF(I43="C",H43,IF(I43="N",H43,IF(I43="Q",IF(G43*'Sd &amp; DAF Summers'!$C$40&gt;H43,G43,H43)))))</f>
        <v>0.33692307692307694</v>
      </c>
      <c r="K43" s="170" t="str">
        <f>+IF(J43=B43,"X DF 2",IF(J43=C43,"X DF 2",IF(J43=D43,"X DF 2",IF(J43=E43,"X DF 2",IF(J43=F43,"X DF 2",IF(J43='Quantitation limits'!C34,"F",IF(J43*'Sd &amp; DAF Summers'!$C$40&gt;G43,"X DF 2","?")))))))</f>
        <v>X DF 2</v>
      </c>
      <c r="L43" s="183">
        <f>+MIN(H43,'Chem&amp;Phy data'!L34)</f>
        <v>0.33692307692307694</v>
      </c>
      <c r="M43" s="152">
        <f>+MIN(J43,'Chem&amp;Phy data'!L34)</f>
        <v>0.33692307692307694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ht="12.75">
      <c r="A44" s="169" t="str">
        <f>'SF&amp;RfD'!A35</f>
        <v>Aromatics &gt;C16-C21</v>
      </c>
      <c r="B44" s="171"/>
      <c r="C44" s="154"/>
      <c r="D44" s="154" t="s">
        <v>83</v>
      </c>
      <c r="E44" s="154"/>
      <c r="F44" s="154">
        <f>(THQ*BWa*ATnni*365)/(EFni*EDni*(IRWa/'SF&amp;RfD'!G35))</f>
        <v>1.095</v>
      </c>
      <c r="G44" s="183">
        <f t="shared" si="2"/>
        <v>1.095</v>
      </c>
      <c r="H44" s="183">
        <f>+MAX(G44,'Quantitation limits'!C35)</f>
        <v>1.095</v>
      </c>
      <c r="I44" s="170" t="str">
        <f>+IF(H44=B44,"MCL",IF(H44=C44,"C",IF(H44=D44,"C",IF(H44=E44,"N",IF(H44=F44,"N",IF(H44='Quantitation limits'!C35,"Q","?"))))))</f>
        <v>N</v>
      </c>
      <c r="J44" s="183">
        <f>+IF(I44="MCL",H44,IF(I44="C",H44,IF(I44="N",H44,IF(I44="Q",IF(G44*'Sd &amp; DAF Summers'!$C$40&gt;H44,G44,H44)))))</f>
        <v>1.095</v>
      </c>
      <c r="K44" s="170" t="str">
        <f>+IF(J44=B44,"X DF 2",IF(J44=C44,"X DF 2",IF(J44=D44,"X DF 2",IF(J44=E44,"X DF 2",IF(J44=F44,"X DF 2",IF(J44='Quantitation limits'!C35,"F",IF(J44*'Sd &amp; DAF Summers'!$C$40&gt;G44,"X DF 2","?")))))))</f>
        <v>X DF 2</v>
      </c>
      <c r="L44" s="183">
        <f>+MIN(H44,'Chem&amp;Phy data'!L35)</f>
        <v>1.095</v>
      </c>
      <c r="M44" s="152">
        <f>+MIN(J44,'Chem&amp;Phy data'!L35)</f>
        <v>1.095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ht="12.75">
      <c r="A45" s="169" t="str">
        <f>'SF&amp;RfD'!A36</f>
        <v>Aromatics &gt;C21-C35</v>
      </c>
      <c r="B45" s="171"/>
      <c r="C45" s="154"/>
      <c r="D45" s="154" t="s">
        <v>83</v>
      </c>
      <c r="E45" s="154"/>
      <c r="F45" s="154">
        <f>(THQ*BWa*ATnni*365)/(EFni*EDni*(IRWa/'SF&amp;RfD'!G36))</f>
        <v>1.095</v>
      </c>
      <c r="G45" s="183">
        <f t="shared" si="2"/>
        <v>1.095</v>
      </c>
      <c r="H45" s="183">
        <f>+MAX(G45,'Quantitation limits'!C36)</f>
        <v>1.095</v>
      </c>
      <c r="I45" s="170" t="str">
        <f>+IF(H45=B45,"MCL",IF(H45=C45,"C",IF(H45=D45,"C",IF(H45=E45,"N",IF(H45=F45,"N",IF(H45='Quantitation limits'!C36,"Q","?"))))))</f>
        <v>N</v>
      </c>
      <c r="J45" s="183">
        <f>+IF(I45="MCL",H45,IF(I45="C",H45,IF(I45="N",H45,IF(I45="Q",IF(G45*'Sd &amp; DAF Summers'!$C$40&gt;H45,G45,H45)))))</f>
        <v>1.095</v>
      </c>
      <c r="K45" s="170" t="str">
        <f>+IF(J45=B45,"X DF 2",IF(J45=C45,"X DF 2",IF(J45=D45,"X DF 2",IF(J45=E45,"X DF 2",IF(J45=F45,"X DF 2",IF(J45='Quantitation limits'!C36,"F",IF(J45*'Sd &amp; DAF Summers'!$C$40&gt;G45,"X DF 2","?")))))))</f>
        <v>X DF 2</v>
      </c>
      <c r="L45" s="183">
        <f>+MIN(H45,'Chem&amp;Phy data'!L36)</f>
        <v>1.095</v>
      </c>
      <c r="M45" s="152">
        <f>+MIN(J45,'Chem&amp;Phy data'!L36)</f>
        <v>1.095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ht="12.75">
      <c r="A46" s="213" t="s">
        <v>501</v>
      </c>
      <c r="B46" s="170"/>
      <c r="C46" s="170"/>
      <c r="D46" s="170"/>
      <c r="E46" s="170"/>
      <c r="F46" s="170"/>
      <c r="G46" s="183"/>
      <c r="H46" s="183">
        <f>+MIN(H36:H37,H41)</f>
        <v>0.33692307692307694</v>
      </c>
      <c r="I46" s="170"/>
      <c r="J46" s="183">
        <f>+MIN(J36:J37,J41)</f>
        <v>0.33692307692307694</v>
      </c>
      <c r="K46" s="170"/>
      <c r="L46" s="170"/>
      <c r="M46" s="21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ht="12.75">
      <c r="A47" s="213" t="s">
        <v>502</v>
      </c>
      <c r="B47" s="170"/>
      <c r="C47" s="170"/>
      <c r="D47" s="170"/>
      <c r="E47" s="170"/>
      <c r="F47" s="170"/>
      <c r="G47" s="183"/>
      <c r="H47" s="183">
        <f>+MIN(H37:H40,H41:H45)</f>
        <v>0.33692307692307694</v>
      </c>
      <c r="I47" s="170"/>
      <c r="J47" s="183">
        <f>+MIN(J37:J40,J41:J45)</f>
        <v>0.33692307692307694</v>
      </c>
      <c r="K47" s="170"/>
      <c r="L47" s="170"/>
      <c r="M47" s="21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ht="12.75">
      <c r="A48" s="215" t="s">
        <v>503</v>
      </c>
      <c r="B48" s="161"/>
      <c r="C48" s="161"/>
      <c r="D48" s="161"/>
      <c r="E48" s="161"/>
      <c r="F48" s="161"/>
      <c r="G48" s="184"/>
      <c r="H48" s="184">
        <f>+MIN(H40,H45)</f>
        <v>1.095</v>
      </c>
      <c r="I48" s="161"/>
      <c r="J48" s="184">
        <f>+MIN(J40,J45)</f>
        <v>1.095</v>
      </c>
      <c r="K48" s="161"/>
      <c r="L48" s="161"/>
      <c r="M48" s="21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ht="12.75">
      <c r="A49" s="102" t="s">
        <v>432</v>
      </c>
      <c r="B49" s="102"/>
      <c r="C49" s="102"/>
      <c r="D49" s="102"/>
      <c r="E49" s="102"/>
      <c r="F49" s="102"/>
      <c r="G49" s="102"/>
      <c r="H49" s="102"/>
      <c r="I49" s="217"/>
      <c r="J49" s="102"/>
      <c r="K49" s="217"/>
      <c r="L49" s="102"/>
      <c r="M49" s="10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ht="12.75">
      <c r="A50" s="7"/>
      <c r="B50" s="7"/>
      <c r="C50" s="7"/>
      <c r="D50" s="7"/>
      <c r="E50" s="7"/>
      <c r="F50" s="7"/>
      <c r="G50" s="7"/>
      <c r="H50" s="7"/>
      <c r="I50" s="87"/>
      <c r="J50" s="7"/>
      <c r="K50" s="8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ht="12.75">
      <c r="A51" s="7"/>
      <c r="B51" s="7"/>
      <c r="C51" s="7"/>
      <c r="D51" s="7"/>
      <c r="E51" s="7"/>
      <c r="F51" s="7"/>
      <c r="G51" s="7"/>
      <c r="H51" s="7"/>
      <c r="I51" s="87"/>
      <c r="J51" s="7"/>
      <c r="K51" s="8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ht="12.75">
      <c r="A52" s="7"/>
      <c r="B52" s="7"/>
      <c r="C52" s="7"/>
      <c r="D52" s="7"/>
      <c r="E52" s="7"/>
      <c r="F52" s="7"/>
      <c r="G52" s="7"/>
      <c r="H52" s="7"/>
      <c r="I52" s="87"/>
      <c r="J52" s="7"/>
      <c r="K52" s="8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12.75">
      <c r="A53" s="7"/>
      <c r="B53" s="7"/>
      <c r="C53" s="7"/>
      <c r="D53" s="7"/>
      <c r="E53" s="7"/>
      <c r="F53" s="7"/>
      <c r="G53" s="7"/>
      <c r="H53" s="7"/>
      <c r="I53" s="87"/>
      <c r="J53" s="7"/>
      <c r="K53" s="8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4:71" ht="12.75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ht="12.75">
      <c r="A55" s="102" t="str">
        <f>'SF&amp;RfD'!A55</f>
        <v>ADDITIONAL COMPOUNDS</v>
      </c>
      <c r="B55" s="7"/>
      <c r="C55" s="7"/>
      <c r="D55" s="7"/>
      <c r="E55" s="7"/>
      <c r="F55" s="7"/>
      <c r="G55" s="7"/>
      <c r="H55" s="7"/>
      <c r="I55" s="87"/>
      <c r="J55" s="7"/>
      <c r="K55" s="8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ht="12.75">
      <c r="A56" s="16" t="str">
        <f>'SF&amp;RfD'!A56</f>
        <v>ORGANIC COUMPOUNDS</v>
      </c>
      <c r="B56" s="17"/>
      <c r="C56" s="20"/>
      <c r="D56" s="20"/>
      <c r="E56" s="20"/>
      <c r="F56" s="20"/>
      <c r="G56" s="17"/>
      <c r="H56" s="18"/>
      <c r="I56" s="24"/>
      <c r="J56" s="18"/>
      <c r="K56" s="24"/>
      <c r="L56" s="18"/>
      <c r="M56" s="18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ht="12.75">
      <c r="A57" s="16" t="str">
        <f>'SF&amp;RfD'!A57</f>
        <v>Benzene</v>
      </c>
      <c r="B57" s="17">
        <v>0.005</v>
      </c>
      <c r="C57" s="20">
        <f>(TR*ATc*365)/(EFni*(('SF&amp;RfD'!E57*Kw*IRAadj)+('SF&amp;RfD'!C57*IRWadj)))</f>
        <v>0.0003814002089864158</v>
      </c>
      <c r="D57" s="20"/>
      <c r="E57" s="20">
        <f>(THQ*BWa*ATnni*365)/(EFni*EDni*(((IRAa/'SF&amp;RfD'!I57)*Kw)+(IRWa/'SF&amp;RfD'!G57)))</f>
        <v>0.01120556552962298</v>
      </c>
      <c r="F57" s="20"/>
      <c r="G57" s="17">
        <f aca="true" t="shared" si="3" ref="G57:G63">IF(B57,B57,+MIN(C57:F57))</f>
        <v>0.005</v>
      </c>
      <c r="H57" s="18">
        <f>+MAX(G57,'Quantitation limits'!D47)</f>
        <v>0.005</v>
      </c>
      <c r="I57" s="24" t="str">
        <f>+IF(H57=B57,"MCL",IF(H57=C57,"C",IF(H57=D57,"C",IF(H57=E57,"N",IF(H57=F57,"N",IF(H57='Quantitation limits'!D47,"Q","?"))))))</f>
        <v>MCL</v>
      </c>
      <c r="J57" s="18">
        <f>+IF(I57="MCL",H57,IF(I57="C",H57,IF(I57="N",H57,IF(I57="Q",IF(G57*'Sd &amp; DAF Summers'!$C$40&gt;H57,G57,H57)))))</f>
        <v>0.005</v>
      </c>
      <c r="K57" s="24" t="str">
        <f>+IF(J57=B57,"X DF 2",IF(J57=C57,"X DF 2",IF(J57=D57,"X DF 2",IF(J57=E57,"X DF 2",IF(J57=F57,"X DF 2",IF(J57='Quantitation limits'!D47,"F",IF(J57*'Sd &amp; DAF Summers'!$C$40&gt;'GW1&amp;2'!G57,"X DF 2","?")))))))</f>
        <v>X DF 2</v>
      </c>
      <c r="L57" s="18">
        <f>+MIN(H57,'Chem&amp;Phy data'!L57)</f>
        <v>0.005</v>
      </c>
      <c r="M57" s="18">
        <f>+MIN(J57,'Chem&amp;Phy data'!L57)</f>
        <v>0.005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ht="12.75">
      <c r="A58" s="16" t="str">
        <f>'SF&amp;RfD'!A58</f>
        <v>Benzene</v>
      </c>
      <c r="B58" s="17">
        <v>0.005</v>
      </c>
      <c r="C58" s="20">
        <f>(TR*ATc*365)/(EFni*(('SF&amp;RfD'!E58*Kw*IRAadj)+('SF&amp;RfD'!C58*IRWadj)))</f>
        <v>0.0003814002089864158</v>
      </c>
      <c r="D58" s="20"/>
      <c r="E58" s="20">
        <f>(THQ*BWa*ATnni*365)/(EFni*EDni*(((IRAa/'SF&amp;RfD'!I58)*Kw)+(IRWa/'SF&amp;RfD'!G58)))</f>
        <v>0.01120556552962298</v>
      </c>
      <c r="F58" s="22"/>
      <c r="G58" s="17">
        <f t="shared" si="3"/>
        <v>0.005</v>
      </c>
      <c r="H58" s="18">
        <f>+MAX(G58,'Quantitation limits'!D48)</f>
        <v>0.005</v>
      </c>
      <c r="I58" s="24" t="str">
        <f>+IF(H58=B58,"MCL",IF(H58=C58,"C",IF(H58=D58,"C",IF(H58=E58,"N",IF(H58=F58,"N",IF(H58='Quantitation limits'!D48,"Q","?"))))))</f>
        <v>MCL</v>
      </c>
      <c r="J58" s="18">
        <f>+IF(I58="MCL",H58,IF(I58="C",H58,IF(I58="N",H58,IF(I58="Q",IF(G58*'Sd &amp; DAF Summers'!$C$40&gt;H58,G58,H58)))))</f>
        <v>0.005</v>
      </c>
      <c r="K58" s="24" t="str">
        <f>+IF(J58=B58,"X DF 2",IF(J58=C58,"X DF 2",IF(J58=D58,"X DF 2",IF(J58=E58,"X DF 2",IF(J58=F58,"X DF 2",IF(J58='Quantitation limits'!D48,"F",IF(J58*'Sd &amp; DAF Summers'!$C$40&gt;'GW1&amp;2'!G58,"X DF 2","?")))))))</f>
        <v>X DF 2</v>
      </c>
      <c r="L58" s="18">
        <f>+MIN(H58,'Chem&amp;Phy data'!L58)</f>
        <v>0.005</v>
      </c>
      <c r="M58" s="18">
        <f>+MIN(J58,'Chem&amp;Phy data'!L58)</f>
        <v>0.005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ht="12.75">
      <c r="A59" s="16" t="str">
        <f>'SF&amp;RfD'!A59</f>
        <v>Benzene</v>
      </c>
      <c r="B59" s="17"/>
      <c r="C59" s="20">
        <f>(TR*ATc*365)/(EFni*(('SF&amp;RfD'!E59*Kw*IRAadj)+('SF&amp;RfD'!C59*IRWadj)))</f>
        <v>0.0003814002089864158</v>
      </c>
      <c r="D59" s="20"/>
      <c r="E59" s="20">
        <f>(THQ*BWa*ATnni*365)/(EFni*EDni*(((IRAa/'SF&amp;RfD'!I59)*Kw)+(IRWa/'SF&amp;RfD'!G59)))</f>
        <v>0.01120556552962298</v>
      </c>
      <c r="F59" s="22"/>
      <c r="G59" s="17">
        <f t="shared" si="3"/>
        <v>0.0003814002089864158</v>
      </c>
      <c r="H59" s="18">
        <f>+MAX(G59,'Quantitation limits'!D49)</f>
        <v>0.0003814002089864158</v>
      </c>
      <c r="I59" s="24" t="str">
        <f>+IF(H59=B59,"MCL",IF(H59=C59,"C",IF(H59=D59,"C",IF(H59=E59,"N",IF(H59=F59,"N",IF(H59='Quantitation limits'!D49,"Q","?"))))))</f>
        <v>C</v>
      </c>
      <c r="J59" s="18">
        <f>+IF(I59="MCL",H59,IF(I59="C",H59,IF(I59="N",H59,IF(I59="Q",IF(G59*'Sd &amp; DAF Summers'!$C$40&gt;H59,G59,H59)))))</f>
        <v>0.0003814002089864158</v>
      </c>
      <c r="K59" s="24" t="str">
        <f>+IF(J59=B59,"X DF 2",IF(J59=C59,"X DF 2",IF(J59=D59,"X DF 2",IF(J59=E59,"X DF 2",IF(J59=F59,"X DF 2",IF(J59='Quantitation limits'!D49,"F",IF(J59*'Sd &amp; DAF Summers'!$C$40&gt;'GW1&amp;2'!G59,"X DF 2","?")))))))</f>
        <v>X DF 2</v>
      </c>
      <c r="L59" s="18">
        <f>+MIN(H59,'Chem&amp;Phy data'!L59)</f>
        <v>0.0003814002089864158</v>
      </c>
      <c r="M59" s="18">
        <f>+MIN(J59,'Chem&amp;Phy data'!L59)</f>
        <v>0.0003814002089864158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12.75">
      <c r="A60" s="16" t="str">
        <f>'SF&amp;RfD'!A60</f>
        <v>Benzene</v>
      </c>
      <c r="B60" s="17"/>
      <c r="C60" s="20">
        <f>(TR*ATc*365)/(EFni*(('SF&amp;RfD'!E60*Kw*IRAadj)+('SF&amp;RfD'!C60*IRWadj)))</f>
        <v>0.0003814002089864158</v>
      </c>
      <c r="D60" s="20"/>
      <c r="E60" s="20">
        <f>(THQ*BWa*ATnni*365)/(EFni*EDni*(((IRAa/'SF&amp;RfD'!I60)*Kw)+(IRWa/'SF&amp;RfD'!G60)))</f>
        <v>0.01120556552962298</v>
      </c>
      <c r="F60" s="22"/>
      <c r="G60" s="17">
        <f t="shared" si="3"/>
        <v>0.0003814002089864158</v>
      </c>
      <c r="H60" s="18">
        <f>+MAX(G60,'Quantitation limits'!D50)</f>
        <v>0.0003814002089864158</v>
      </c>
      <c r="I60" s="24" t="str">
        <f>+IF(H60=B60,"MCL",IF(H60=C60,"C",IF(H60=D60,"C",IF(H60=E60,"N",IF(H60=F60,"N",IF(H60='Quantitation limits'!D50,"Q","?"))))))</f>
        <v>C</v>
      </c>
      <c r="J60" s="18">
        <f>+IF(I60="MCL",H60,IF(I60="C",H60,IF(I60="N",H60,IF(I60="Q",IF(G60*'Sd &amp; DAF Summers'!$C$40&gt;H60,G60,H60)))))</f>
        <v>0.0003814002089864158</v>
      </c>
      <c r="K60" s="24" t="str">
        <f>+IF(J60=B60,"X DF 2",IF(J60=C60,"X DF 2",IF(J60=D60,"X DF 2",IF(J60=E60,"X DF 2",IF(J60=F60,"X DF 2",IF(J60='Quantitation limits'!D50,"F",IF(J60*'Sd &amp; DAF Summers'!$C$40&gt;'GW1&amp;2'!G60,"X DF 2","?")))))))</f>
        <v>X DF 2</v>
      </c>
      <c r="L60" s="18">
        <f>+MIN(H60,'Chem&amp;Phy data'!L60)</f>
        <v>0.0003814002089864158</v>
      </c>
      <c r="M60" s="18">
        <f>+MIN(J60,'Chem&amp;Phy data'!L60)</f>
        <v>0.0003814002089864158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12.75">
      <c r="A61" s="16" t="str">
        <f>'SF&amp;RfD'!A61</f>
        <v>Benzene</v>
      </c>
      <c r="B61" s="17"/>
      <c r="C61" s="20">
        <f>(TR*ATc*365)/(EFni*(('SF&amp;RfD'!E61*Kw*IRAadj)+('SF&amp;RfD'!C61*IRWadj)))</f>
        <v>0.0003814002089864158</v>
      </c>
      <c r="D61" s="20"/>
      <c r="E61" s="20">
        <f>(THQ*BWa*ATnni*365)/(EFni*EDni*(((IRAa/'SF&amp;RfD'!I61)*Kw)+(IRWa/'SF&amp;RfD'!G61)))</f>
        <v>0.01120556552962298</v>
      </c>
      <c r="F61" s="22"/>
      <c r="G61" s="17">
        <f t="shared" si="3"/>
        <v>0.0003814002089864158</v>
      </c>
      <c r="H61" s="18">
        <f>+MAX(G61,'Quantitation limits'!D51)</f>
        <v>0.0003814002089864158</v>
      </c>
      <c r="I61" s="24" t="str">
        <f>+IF(H61=B61,"MCL",IF(H61=C61,"C",IF(H61=D61,"C",IF(H61=E61,"N",IF(H61=F61,"N",IF(H61='Quantitation limits'!D51,"Q","?"))))))</f>
        <v>C</v>
      </c>
      <c r="J61" s="18">
        <f>+IF(I61="MCL",H61,IF(I61="C",H61,IF(I61="N",H61,IF(I61="Q",IF(G61*'Sd &amp; DAF Summers'!$C$40&gt;H61,G61,H61)))))</f>
        <v>0.0003814002089864158</v>
      </c>
      <c r="K61" s="24" t="str">
        <f>+IF(J61=B61,"X DF 2",IF(J61=C61,"X DF 2",IF(J61=D61,"X DF 2",IF(J61=E61,"X DF 2",IF(J61=F61,"X DF 2",IF(J61='Quantitation limits'!D51,"F",IF(J61*'Sd &amp; DAF Summers'!$C$40&gt;'GW1&amp;2'!G61,"X DF 2","?")))))))</f>
        <v>X DF 2</v>
      </c>
      <c r="L61" s="18">
        <f>+MIN(H61,'Chem&amp;Phy data'!L61)</f>
        <v>0.0003814002089864158</v>
      </c>
      <c r="M61" s="18">
        <f>+MIN(J61,'Chem&amp;Phy data'!L61)</f>
        <v>0.0003814002089864158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ht="12.75">
      <c r="A62" s="16" t="str">
        <f>'SF&amp;RfD'!A62</f>
        <v>Benzene</v>
      </c>
      <c r="B62" s="17"/>
      <c r="C62" s="20">
        <f>(TR*ATc*365)/(EFni*(('SF&amp;RfD'!E62*Kw*IRAadj)+('SF&amp;RfD'!C62*IRWadj)))</f>
        <v>0.0003814002089864158</v>
      </c>
      <c r="D62" s="20"/>
      <c r="E62" s="20">
        <f>(THQ*BWa*ATnni*365)/(EFni*EDni*(((IRAa/'SF&amp;RfD'!I62)*Kw)+(IRWa/'SF&amp;RfD'!G62)))</f>
        <v>0.01120556552962298</v>
      </c>
      <c r="F62" s="22"/>
      <c r="G62" s="17">
        <f t="shared" si="3"/>
        <v>0.0003814002089864158</v>
      </c>
      <c r="H62" s="18">
        <f>+MAX(G62,'Quantitation limits'!D52)</f>
        <v>0.0003814002089864158</v>
      </c>
      <c r="I62" s="24" t="str">
        <f>+IF(H62=B62,"MCL",IF(H62=C62,"C",IF(H62=D62,"C",IF(H62=E62,"N",IF(H62=F62,"N",IF(H62='Quantitation limits'!D52,"Q","?"))))))</f>
        <v>C</v>
      </c>
      <c r="J62" s="18">
        <f>+IF(I62="MCL",H62,IF(I62="C",H62,IF(I62="N",H62,IF(I62="Q",IF(G62*'Sd &amp; DAF Summers'!$C$40&gt;H62,G62,H62)))))</f>
        <v>0.0003814002089864158</v>
      </c>
      <c r="K62" s="24" t="str">
        <f>+IF(J62=B62,"X DF 2",IF(J62=C62,"X DF 2",IF(J62=D62,"X DF 2",IF(J62=E62,"X DF 2",IF(J62=F62,"X DF 2",IF(J62='Quantitation limits'!D52,"F",IF(J62*'Sd &amp; DAF Summers'!$C$40&gt;'GW1&amp;2'!G62,"X DF 2","?")))))))</f>
        <v>X DF 2</v>
      </c>
      <c r="L62" s="18">
        <f>+MIN(H62,'Chem&amp;Phy data'!L62)</f>
        <v>0.0003814002089864158</v>
      </c>
      <c r="M62" s="18">
        <f>+MIN(J62,'Chem&amp;Phy data'!L62)</f>
        <v>0.0003814002089864158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ht="12.75">
      <c r="A63" s="16" t="str">
        <f>'SF&amp;RfD'!A63</f>
        <v>Formaldehyde</v>
      </c>
      <c r="B63" s="17"/>
      <c r="C63" s="20"/>
      <c r="D63" s="20">
        <f>(TR*ATc*365)/(EFni*('SF&amp;RfD'!C63*IRWadj))</f>
        <v>0.001442687747035573</v>
      </c>
      <c r="E63" s="20"/>
      <c r="F63" s="20">
        <f>(THQ*BWa*ATnni*365)/(EFni*EDni*(IRWa/'SF&amp;RfD'!G63))</f>
        <v>7.3</v>
      </c>
      <c r="G63" s="17">
        <f t="shared" si="3"/>
        <v>0.001442687747035573</v>
      </c>
      <c r="H63" s="18">
        <f>+MAX(G63,'Quantitation limits'!D53)</f>
        <v>0.001442687747035573</v>
      </c>
      <c r="I63" s="24" t="str">
        <f>+IF(H63=B63,"MCL",IF(H63=C63,"C",IF(H63=D63,"C",IF(H63=E63,"N",IF(H63=F63,"N",IF(H63='Quantitation limits'!D53,"Q","?"))))))</f>
        <v>C</v>
      </c>
      <c r="J63" s="18">
        <f>+IF(I63="MCL",H63,IF(I63="C",H63,IF(I63="N",H63,IF(I63="Q",IF(G63*'Sd &amp; DAF Summers'!$C$40&gt;H63,G63,H63)))))</f>
        <v>0.001442687747035573</v>
      </c>
      <c r="K63" s="24" t="str">
        <f>+IF(J63=B63,"X DF 2",IF(J63=C63,"X DF 2",IF(J63=D63,"X DF 2",IF(J63=E63,"X DF 2",IF(J63=F63,"X DF 2",IF(J63='Quantitation limits'!D53,"F",IF(J63*'Sd &amp; DAF Summers'!$C$40&gt;'GW1&amp;2'!G63,"X DF 2","?")))))))</f>
        <v>X DF 2</v>
      </c>
      <c r="L63" s="18">
        <f>+MIN(H63,'Chem&amp;Phy data'!L63)</f>
        <v>0.001442687747035573</v>
      </c>
      <c r="M63" s="18">
        <f>+MIN(J63,'Chem&amp;Phy data'!L63)</f>
        <v>0.001442687747035573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spans="1:71" ht="12.75">
      <c r="A64" s="16"/>
      <c r="B64" s="17"/>
      <c r="C64" s="22"/>
      <c r="D64" s="20"/>
      <c r="E64" s="20"/>
      <c r="F64" s="20"/>
      <c r="G64" s="17"/>
      <c r="H64" s="18"/>
      <c r="I64" s="24"/>
      <c r="J64" s="18"/>
      <c r="K64" s="24"/>
      <c r="L64" s="18"/>
      <c r="M64" s="1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spans="1:71" ht="12.75">
      <c r="A65" s="16"/>
      <c r="B65" s="17"/>
      <c r="C65" s="22"/>
      <c r="D65" s="20"/>
      <c r="E65" s="20"/>
      <c r="F65" s="20"/>
      <c r="G65" s="17"/>
      <c r="H65" s="18"/>
      <c r="I65" s="24"/>
      <c r="J65" s="18"/>
      <c r="K65" s="24"/>
      <c r="L65" s="18"/>
      <c r="M65" s="18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1:71" ht="12.75">
      <c r="A66" s="16" t="str">
        <f>'SF&amp;RfD'!A66</f>
        <v>INORGANIC COMPOUNDS</v>
      </c>
      <c r="B66" s="17"/>
      <c r="C66" s="22"/>
      <c r="D66" s="20"/>
      <c r="E66" s="20"/>
      <c r="F66" s="20"/>
      <c r="G66" s="17"/>
      <c r="H66" s="18"/>
      <c r="I66" s="24"/>
      <c r="J66" s="18"/>
      <c r="K66" s="24"/>
      <c r="L66" s="18"/>
      <c r="M66" s="18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1:71" ht="12.75">
      <c r="A67" s="16" t="str">
        <f>'SF&amp;RfD'!A67</f>
        <v>Antimony</v>
      </c>
      <c r="B67" s="17"/>
      <c r="C67" s="22"/>
      <c r="D67" s="20" t="e">
        <f>(TR*ATc*365)/(EFni*('SF&amp;RfD'!C67*IRWadj))</f>
        <v>#VALUE!</v>
      </c>
      <c r="E67" s="20"/>
      <c r="F67" s="20">
        <f>(THQ*BWa*ATnni*365)/(EFni*EDni*(IRWa/'SF&amp;RfD'!G67))</f>
        <v>0.0146</v>
      </c>
      <c r="G67" s="17" t="e">
        <f>IF(B67,B67,+MIN(C67:F67))</f>
        <v>#VALUE!</v>
      </c>
      <c r="H67" s="18" t="e">
        <f>+MAX(G67,'Quantitation limits'!D57)</f>
        <v>#VALUE!</v>
      </c>
      <c r="I67" s="24" t="e">
        <f>+IF(H67=B67,"MCL",IF(H67=C67,"C",IF(H67=D67,"C",IF(H67=E67,"N",IF(H67=F67,"N",IF(H67='Quantitation limits'!D57,"Q","?"))))))</f>
        <v>#VALUE!</v>
      </c>
      <c r="J67" s="18" t="e">
        <f>+IF(I67="MCL",H67,IF(I67="C",H67,IF(I67="N",H67,IF(I67="Q",IF(G67*'Sd &amp; DAF Summers'!$C$40&gt;H67,G67,H67)))))</f>
        <v>#VALUE!</v>
      </c>
      <c r="K67" s="24" t="e">
        <f>+IF(J67=B67,"X DF 2",IF(J67=C67,"X DF 2",IF(J67=D67,"X DF 2",IF(J67=E67,"X DF 2",IF(J67=F67,"X DF 2",IF(J67='Quantitation limits'!D57,"F",IF(J67*'Sd &amp; DAF Summers'!$C$40&gt;'GW1&amp;2'!G67,"X DF 2","?")))))))</f>
        <v>#VALUE!</v>
      </c>
      <c r="L67" s="18" t="e">
        <f>+MIN(H67,'Chem&amp;Phy data'!L67)</f>
        <v>#VALUE!</v>
      </c>
      <c r="M67" s="18" t="e">
        <f>+MIN(J67,'Chem&amp;Phy data'!L67)</f>
        <v>#VALUE!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1:71" ht="12.75">
      <c r="A68" s="16" t="str">
        <f>'SF&amp;RfD'!A68</f>
        <v>Antimony</v>
      </c>
      <c r="B68" s="17"/>
      <c r="C68" s="22"/>
      <c r="D68" s="20" t="e">
        <f>(TR*ATc*365)/(EFni*('SF&amp;RfD'!C68*IRWadj))</f>
        <v>#VALUE!</v>
      </c>
      <c r="E68" s="20"/>
      <c r="F68" s="20">
        <f>(THQ*BWa*ATnni*365)/(EFni*EDni*(IRWa/'SF&amp;RfD'!G68))</f>
        <v>0.0146</v>
      </c>
      <c r="G68" s="17" t="e">
        <f>IF(B68,B68,+MIN(C68:F68))</f>
        <v>#VALUE!</v>
      </c>
      <c r="H68" s="18" t="e">
        <f>+MAX(G68,'Quantitation limits'!D58)</f>
        <v>#VALUE!</v>
      </c>
      <c r="I68" s="24" t="e">
        <f>+IF(H68=B68,"MCL",IF(H68=C68,"C",IF(H68=D68,"C",IF(H68=E68,"N",IF(H68=F68,"N",IF(H68='Quantitation limits'!D58,"Q","?"))))))</f>
        <v>#VALUE!</v>
      </c>
      <c r="J68" s="18" t="e">
        <f>+IF(I68="MCL",H68,IF(I68="C",H68,IF(I68="N",H68,IF(I68="Q",IF(G68*'Sd &amp; DAF Summers'!$C$40&gt;H68,G68,H68)))))</f>
        <v>#VALUE!</v>
      </c>
      <c r="K68" s="24" t="e">
        <f>+IF(J68=B68,"X DF 2",IF(J68=C68,"X DF 2",IF(J68=D68,"X DF 2",IF(J68=E68,"X DF 2",IF(J68=F68,"X DF 2",IF(J68='Quantitation limits'!D58,"F",IF(J68*'Sd &amp; DAF Summers'!$C$40&gt;'GW1&amp;2'!G68,"X DF 2","?")))))))</f>
        <v>#VALUE!</v>
      </c>
      <c r="L68" s="18" t="e">
        <f>+MIN(H68,'Chem&amp;Phy data'!L68)</f>
        <v>#VALUE!</v>
      </c>
      <c r="M68" s="18" t="e">
        <f>+MIN(J68,'Chem&amp;Phy data'!L68)</f>
        <v>#VALUE!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1:71" ht="12.75">
      <c r="A69" s="16" t="str">
        <f>'SF&amp;RfD'!A69</f>
        <v>Antimony</v>
      </c>
      <c r="B69" s="17"/>
      <c r="C69" s="22"/>
      <c r="D69" s="20" t="e">
        <f>(TR*ATc*365)/(EFni*('SF&amp;RfD'!C69*IRWadj))</f>
        <v>#VALUE!</v>
      </c>
      <c r="E69" s="20"/>
      <c r="F69" s="20">
        <f>(THQ*BWa*ATnni*365)/(EFni*EDni*(IRWa/'SF&amp;RfD'!G69))</f>
        <v>0.0146</v>
      </c>
      <c r="G69" s="17" t="e">
        <f>IF(B69,B69,+MIN(C69:F69))</f>
        <v>#VALUE!</v>
      </c>
      <c r="H69" s="18" t="e">
        <f>+MAX(G69,'Quantitation limits'!D59)</f>
        <v>#VALUE!</v>
      </c>
      <c r="I69" s="24" t="e">
        <f>+IF(H69=B69,"MCL",IF(H69=C69,"C",IF(H69=D69,"C",IF(H69=E69,"N",IF(H69=F69,"N",IF(H69='Quantitation limits'!D59,"Q","?"))))))</f>
        <v>#VALUE!</v>
      </c>
      <c r="J69" s="18" t="e">
        <f>+IF(I69="MCL",H69,IF(I69="C",H69,IF(I69="N",H69,IF(I69="Q",IF(G69*'Sd &amp; DAF Summers'!$C$40&gt;H69,G69,H69)))))</f>
        <v>#VALUE!</v>
      </c>
      <c r="K69" s="24" t="e">
        <f>+IF(J69=B69,"X DF 2",IF(J69=C69,"X DF 2",IF(J69=D69,"X DF 2",IF(J69=E69,"X DF 2",IF(J69=F69,"X DF 2",IF(J69='Quantitation limits'!D59,"F",IF(J69*'Sd &amp; DAF Summers'!$C$40&gt;'GW1&amp;2'!G69,"X DF 2","?")))))))</f>
        <v>#VALUE!</v>
      </c>
      <c r="L69" s="18" t="e">
        <f>+MIN(H69,'Chem&amp;Phy data'!L69)</f>
        <v>#VALUE!</v>
      </c>
      <c r="M69" s="18" t="e">
        <f>+MIN(J69,'Chem&amp;Phy data'!L69)</f>
        <v>#VALUE!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1:7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1:7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1:7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1:7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1:7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1:7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1:7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1:7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1:7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1:7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1:7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1:7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1:7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1:7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1:7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1:7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1:7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1:7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1:7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1:7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1:71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1:7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1:7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1:7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1:7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1:71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1:71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1:7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1:7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1:7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1:7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1:7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  <row r="107" spans="1:7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</row>
    <row r="108" spans="1:7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</row>
    <row r="109" spans="1:7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</row>
    <row r="110" spans="1:7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</row>
    <row r="111" spans="1:7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</row>
    <row r="112" spans="1:7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</row>
    <row r="113" spans="1:71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</row>
    <row r="114" spans="1:71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</row>
    <row r="115" spans="1:71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</row>
    <row r="116" spans="1:71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</row>
    <row r="117" spans="1:71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</row>
    <row r="118" spans="1:71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</row>
    <row r="119" spans="1:71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</row>
    <row r="120" spans="1:71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</row>
    <row r="121" spans="1:7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</row>
    <row r="122" spans="1:71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</row>
    <row r="123" spans="1:71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</row>
    <row r="124" spans="1:71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</row>
    <row r="125" spans="1:71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</row>
    <row r="126" spans="1:71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</row>
    <row r="127" spans="1:71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</row>
    <row r="128" spans="1:7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</row>
    <row r="129" spans="1:71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</row>
    <row r="130" spans="1:7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</row>
    <row r="131" spans="1:71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</row>
    <row r="132" spans="1:71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</row>
    <row r="133" spans="1:71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</row>
    <row r="134" spans="1:7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</row>
    <row r="135" spans="1:71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</row>
    <row r="136" spans="1:71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</row>
    <row r="137" spans="1:71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</row>
    <row r="138" spans="1:71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</row>
    <row r="139" spans="1:71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</row>
    <row r="140" spans="1:71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</row>
    <row r="141" spans="1:7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</row>
    <row r="142" spans="1:71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</row>
    <row r="143" spans="1:71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</row>
    <row r="144" spans="1:71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</row>
    <row r="145" spans="1:71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</row>
    <row r="146" spans="1:71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</row>
    <row r="147" spans="1:7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</row>
    <row r="148" spans="1:71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</row>
    <row r="149" spans="1:71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</row>
    <row r="150" spans="1:71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</row>
    <row r="151" spans="1:71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</row>
    <row r="152" spans="1:71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</row>
    <row r="153" spans="1:71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</row>
    <row r="154" spans="1:71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</row>
    <row r="155" spans="1:71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</row>
    <row r="156" spans="1:7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</row>
    <row r="157" spans="1:71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</row>
    <row r="158" spans="1:7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</row>
    <row r="159" spans="1:71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</row>
    <row r="160" spans="1:71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</row>
    <row r="161" spans="1:71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</row>
    <row r="162" spans="1:71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</row>
    <row r="163" spans="1:7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</row>
    <row r="164" spans="1:71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</row>
    <row r="165" spans="1:7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</row>
    <row r="166" spans="1:71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</row>
    <row r="167" spans="1:71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</row>
    <row r="168" spans="1:71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</row>
    <row r="169" spans="1:7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</row>
    <row r="170" spans="1:71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</row>
    <row r="171" spans="1:7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</row>
    <row r="172" spans="1:71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</row>
    <row r="173" spans="1:71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</row>
    <row r="174" spans="1:71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</row>
    <row r="175" spans="1:71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</row>
    <row r="176" spans="1:71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</row>
    <row r="177" spans="1:7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</row>
    <row r="178" spans="1:71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</row>
    <row r="179" spans="1:7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</row>
    <row r="180" spans="1:71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</row>
    <row r="181" spans="1:71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</row>
    <row r="182" spans="1:71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</row>
    <row r="183" spans="1:7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</row>
    <row r="184" spans="1:71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</row>
    <row r="185" spans="1:7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</row>
    <row r="186" spans="1:71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</row>
    <row r="187" spans="1:71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</row>
    <row r="188" spans="1:71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</row>
    <row r="189" spans="1:7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</row>
    <row r="190" spans="1:71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</row>
    <row r="191" spans="1:7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</row>
    <row r="192" spans="1:71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</row>
    <row r="193" spans="1:71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</row>
    <row r="194" spans="1:71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</row>
    <row r="195" spans="1:71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</row>
    <row r="196" spans="1:7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</row>
    <row r="197" spans="1:71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</row>
    <row r="198" spans="1:71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</row>
    <row r="199" spans="1:71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</row>
    <row r="200" spans="1:71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</row>
    <row r="201" spans="1:71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</row>
    <row r="202" spans="1:71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</row>
    <row r="203" spans="1:71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</row>
    <row r="204" spans="1:71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</row>
    <row r="205" spans="1:71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</row>
    <row r="206" spans="1:71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</row>
    <row r="207" spans="1:71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</row>
    <row r="208" spans="1:71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</row>
    <row r="209" spans="1:71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</row>
    <row r="210" spans="1:71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</row>
    <row r="211" spans="1:71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</row>
    <row r="212" spans="1:71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</row>
    <row r="213" spans="1:71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</row>
    <row r="214" spans="1:71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</row>
    <row r="215" spans="1:71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</row>
    <row r="216" spans="1:71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</row>
    <row r="217" spans="1:71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</row>
    <row r="218" spans="1:71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</row>
    <row r="219" spans="1:71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</row>
    <row r="220" spans="1:71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</row>
    <row r="221" spans="1:71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</row>
    <row r="222" spans="1:71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</row>
    <row r="223" spans="1:71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</row>
    <row r="224" spans="1:71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</row>
    <row r="225" spans="1:71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</row>
    <row r="226" spans="1:71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</row>
    <row r="227" spans="1:71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</row>
    <row r="228" spans="1:71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</row>
    <row r="229" spans="1:71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</row>
    <row r="230" spans="1:7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</row>
    <row r="231" spans="1:71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</row>
    <row r="232" spans="1:71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</row>
    <row r="233" spans="1:71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</row>
    <row r="234" spans="1:71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</row>
    <row r="235" spans="1:71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</row>
    <row r="236" spans="1:71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</row>
    <row r="237" spans="1:71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</row>
    <row r="238" spans="1:7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</row>
    <row r="239" spans="1:71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</row>
    <row r="240" spans="1:71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</row>
    <row r="241" spans="1:71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</row>
    <row r="242" spans="1:7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</row>
    <row r="243" spans="1:7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</row>
    <row r="244" spans="1:7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</row>
    <row r="245" spans="1:7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</row>
    <row r="246" spans="1:7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</row>
    <row r="247" spans="1:7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</row>
    <row r="248" spans="1:7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</row>
    <row r="249" spans="1:71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</row>
    <row r="250" spans="1:71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</row>
    <row r="251" spans="1:71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</row>
    <row r="252" spans="1:7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</row>
    <row r="253" spans="1:71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</row>
    <row r="254" spans="1:71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</row>
    <row r="255" spans="1:71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</row>
    <row r="256" spans="1:71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</row>
    <row r="257" spans="1:71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</row>
    <row r="258" spans="1:7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</row>
    <row r="259" spans="1:71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</row>
    <row r="260" spans="1:71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</row>
    <row r="261" spans="1:71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</row>
    <row r="262" spans="1:71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</row>
    <row r="263" spans="1:71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</row>
    <row r="264" spans="1:71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</row>
    <row r="265" spans="1:7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</row>
    <row r="266" spans="1:71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</row>
    <row r="267" spans="1:71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</row>
    <row r="268" spans="1:71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</row>
    <row r="269" spans="1:71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</row>
    <row r="270" spans="1:71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</row>
    <row r="271" spans="1:7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</row>
    <row r="272" spans="1:71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</row>
    <row r="273" spans="1:71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</row>
    <row r="274" spans="1:71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</row>
    <row r="275" spans="1:71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</row>
    <row r="276" spans="1:71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</row>
    <row r="277" spans="1:7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</row>
    <row r="278" spans="1:71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</row>
    <row r="279" spans="1:71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</row>
    <row r="280" spans="1:71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</row>
    <row r="281" spans="1:71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</row>
    <row r="282" spans="1:71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</row>
    <row r="283" spans="1:71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</row>
    <row r="284" spans="1:71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</row>
    <row r="285" spans="1:71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</row>
    <row r="286" spans="1:71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</row>
    <row r="287" spans="1:71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</row>
    <row r="288" spans="1:71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</row>
    <row r="289" spans="1:71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</row>
    <row r="290" spans="1:71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</row>
    <row r="291" spans="1:71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</row>
    <row r="292" spans="1:71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</row>
    <row r="293" spans="1:71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</row>
    <row r="294" spans="1:71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</row>
    <row r="295" spans="1:71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</row>
    <row r="296" spans="1:71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</row>
    <row r="297" spans="1:71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</row>
    <row r="298" spans="1:71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</row>
    <row r="299" spans="1:71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</row>
    <row r="300" spans="1:71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</row>
    <row r="301" spans="1:71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</row>
    <row r="302" spans="1:71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</row>
    <row r="303" spans="1:71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</row>
    <row r="304" spans="1:71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</row>
    <row r="305" spans="1:71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</row>
    <row r="306" spans="1:71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</row>
    <row r="307" spans="1:71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</row>
    <row r="308" spans="1:71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</row>
    <row r="309" spans="1:71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</row>
    <row r="310" spans="1:71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</row>
    <row r="311" spans="1:71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</row>
    <row r="312" spans="1:71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</row>
    <row r="313" spans="1:71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</row>
    <row r="314" spans="1:71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</row>
    <row r="315" spans="1:71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</row>
    <row r="316" spans="1:71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</row>
    <row r="317" spans="1:71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</row>
    <row r="318" spans="1:71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</row>
    <row r="319" spans="1:71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</row>
    <row r="320" spans="1:71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</row>
    <row r="321" spans="1:71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</row>
    <row r="322" spans="1:71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</row>
    <row r="323" spans="1:71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</row>
    <row r="324" spans="1:71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</row>
    <row r="325" spans="1:71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</row>
    <row r="326" spans="1:71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</row>
    <row r="327" spans="1:71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</row>
    <row r="328" spans="1:71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</row>
    <row r="329" spans="1:71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</row>
    <row r="330" spans="1:71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</row>
    <row r="331" spans="1:71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</row>
    <row r="332" spans="1:71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</row>
    <row r="333" spans="1:71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</row>
    <row r="334" spans="1:71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</row>
    <row r="335" spans="1:71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</row>
    <row r="336" spans="1:71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</row>
    <row r="337" spans="1:71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</row>
    <row r="338" spans="1:71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</row>
    <row r="339" spans="1:71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</row>
    <row r="340" spans="1:71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</row>
    <row r="341" spans="1:71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</row>
    <row r="342" spans="1:71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</row>
    <row r="343" spans="1:71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</row>
    <row r="344" spans="1:71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</row>
    <row r="345" spans="1:71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</row>
    <row r="346" spans="1:71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</row>
    <row r="347" spans="1:71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</row>
    <row r="348" spans="1:71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</row>
    <row r="349" spans="1:71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</row>
    <row r="350" spans="1:71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</row>
    <row r="351" spans="1:71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</row>
    <row r="352" spans="1:71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</row>
    <row r="353" spans="1:71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</row>
    <row r="354" spans="1:71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</row>
    <row r="355" spans="1:71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</row>
    <row r="356" spans="1:71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</row>
    <row r="357" spans="1:71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</row>
    <row r="358" spans="1:71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</row>
    <row r="359" spans="1:71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</row>
    <row r="360" spans="1:71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</row>
    <row r="361" spans="1:71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</row>
    <row r="362" spans="1:71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</row>
    <row r="363" spans="1:71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</row>
    <row r="364" spans="1:71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</row>
    <row r="365" spans="1:71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</row>
    <row r="366" spans="1:71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</row>
    <row r="367" spans="1:71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</row>
    <row r="368" spans="1:71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</row>
    <row r="369" spans="1:71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</row>
    <row r="370" spans="1:71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</row>
    <row r="371" spans="1:71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</row>
    <row r="372" spans="1:71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</row>
    <row r="373" spans="1:71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</row>
    <row r="374" spans="1:71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</row>
    <row r="375" spans="1:71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</row>
    <row r="376" spans="1:71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</row>
    <row r="377" spans="1:71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</row>
    <row r="378" spans="1:71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</row>
    <row r="379" spans="1:71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</row>
    <row r="380" spans="1:71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</row>
    <row r="381" spans="1:71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</row>
    <row r="382" spans="1:71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</row>
    <row r="383" spans="1:71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</row>
    <row r="384" spans="1:71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</row>
    <row r="385" spans="1:71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</row>
    <row r="386" spans="1:71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</row>
    <row r="387" spans="1:71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</row>
    <row r="388" spans="1:71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</row>
    <row r="389" spans="1:71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</row>
    <row r="390" spans="1:71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</row>
    <row r="391" spans="1:71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</row>
    <row r="392" spans="1:71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</row>
    <row r="393" spans="1:71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</row>
    <row r="394" spans="1:71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</row>
    <row r="395" spans="1:71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</row>
    <row r="396" spans="1:71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</row>
    <row r="397" spans="1:71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</row>
    <row r="398" spans="1:71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</row>
    <row r="399" spans="1:71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</row>
    <row r="400" spans="1:71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</row>
    <row r="401" spans="1:71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</row>
    <row r="402" spans="1:71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</row>
    <row r="403" spans="1:71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</row>
    <row r="404" spans="1:71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</row>
    <row r="405" spans="1:71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</row>
    <row r="406" spans="1:71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</row>
    <row r="407" spans="1:71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</row>
    <row r="408" spans="1:71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</row>
    <row r="409" spans="1:71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</row>
    <row r="410" spans="1:71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</row>
    <row r="411" spans="1:71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</row>
    <row r="412" spans="1:71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</row>
    <row r="413" spans="1:71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</row>
    <row r="414" spans="1:71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</row>
    <row r="415" spans="1:71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</row>
    <row r="416" spans="1:71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</row>
    <row r="417" spans="1:71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</row>
    <row r="418" spans="1:71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</row>
    <row r="419" spans="1:71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</row>
    <row r="420" spans="1:71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</row>
    <row r="421" spans="1:71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</row>
    <row r="422" spans="1:71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</row>
    <row r="423" spans="1:71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</row>
    <row r="424" spans="1:71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</row>
    <row r="425" spans="1:71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</row>
    <row r="426" spans="1:71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</row>
    <row r="427" spans="1:71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</row>
    <row r="428" spans="1:71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</row>
    <row r="429" spans="1:71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</row>
    <row r="430" spans="1:71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</row>
    <row r="431" spans="1:71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</row>
    <row r="432" spans="1:7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</row>
    <row r="433" spans="1:7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</row>
    <row r="434" spans="1:7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</row>
    <row r="435" spans="1:7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</row>
    <row r="436" spans="1:7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</row>
    <row r="437" spans="1:7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</row>
    <row r="438" spans="1:7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</row>
    <row r="439" spans="1:7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</row>
    <row r="440" spans="1:7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</row>
    <row r="441" spans="1:7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</row>
    <row r="442" spans="1:7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</row>
    <row r="443" spans="1:7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</row>
    <row r="444" spans="1:7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</row>
    <row r="445" spans="1:7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</row>
    <row r="446" spans="1:7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</row>
    <row r="447" spans="1:7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</row>
    <row r="448" spans="1:7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</row>
    <row r="449" spans="1:7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</row>
    <row r="450" spans="1:7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</row>
    <row r="451" spans="1:7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</row>
    <row r="452" spans="1:7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</row>
    <row r="453" spans="1:7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</row>
    <row r="454" spans="1:7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</row>
    <row r="455" spans="1:7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</row>
    <row r="456" spans="1:7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</row>
    <row r="457" spans="1:7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</row>
    <row r="458" spans="1:7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</row>
    <row r="459" spans="1:7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</row>
    <row r="460" spans="1:7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</row>
    <row r="461" spans="1:7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</row>
    <row r="462" spans="1:7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</row>
    <row r="463" spans="1:7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</row>
    <row r="464" spans="1:7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</row>
    <row r="465" spans="1:7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</row>
    <row r="466" spans="1:7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</row>
    <row r="467" spans="1:7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</row>
    <row r="468" spans="1:7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</row>
    <row r="469" spans="1:7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</row>
    <row r="470" spans="1:7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</row>
    <row r="471" spans="1:7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</row>
    <row r="472" spans="1:7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</row>
    <row r="473" spans="1:7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</row>
    <row r="474" spans="1:7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</row>
    <row r="475" spans="1:7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</row>
    <row r="476" spans="1:7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</row>
    <row r="477" spans="1:7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</row>
    <row r="478" spans="1:7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</row>
    <row r="479" spans="1:7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</row>
    <row r="480" spans="1:7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</row>
    <row r="481" spans="1:7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</row>
    <row r="482" spans="1:7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</row>
    <row r="483" spans="1:7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</row>
    <row r="484" spans="1:7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</row>
    <row r="485" spans="1:7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</row>
    <row r="486" spans="1:7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</row>
    <row r="487" spans="1:7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</row>
    <row r="488" spans="1:7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</row>
    <row r="489" spans="1:7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</row>
    <row r="490" spans="1:7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</row>
    <row r="491" spans="1:7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</row>
    <row r="492" spans="1:7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</row>
    <row r="493" spans="1:71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</row>
    <row r="494" spans="1:71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</row>
    <row r="495" spans="1:71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</row>
    <row r="496" spans="1:71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</row>
    <row r="497" spans="1:71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</row>
    <row r="498" spans="1:71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</row>
    <row r="499" spans="1:71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</row>
    <row r="500" spans="1:71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</row>
    <row r="501" spans="1:71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</row>
    <row r="502" spans="1:71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</row>
    <row r="503" spans="1:71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</row>
    <row r="504" spans="1:7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</row>
    <row r="505" spans="1:71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</row>
    <row r="506" spans="1:71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</row>
    <row r="507" spans="1:7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</row>
    <row r="508" spans="1:71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</row>
    <row r="509" spans="1:71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</row>
    <row r="510" spans="1:71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</row>
    <row r="511" spans="1:71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</row>
    <row r="512" spans="1:7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</row>
    <row r="513" spans="1:71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</row>
    <row r="514" spans="1:71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</row>
    <row r="515" spans="1:71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</row>
    <row r="516" spans="1:71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</row>
    <row r="517" spans="1:71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</row>
    <row r="518" spans="1:71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</row>
    <row r="519" spans="1:71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</row>
    <row r="520" spans="1:71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</row>
    <row r="521" spans="1:71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</row>
    <row r="522" spans="1:71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</row>
    <row r="523" spans="1:7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</row>
    <row r="524" spans="1:71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</row>
    <row r="525" spans="1:71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</row>
    <row r="526" spans="1:71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</row>
    <row r="527" spans="1:7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</row>
    <row r="528" spans="1:71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</row>
    <row r="529" spans="1:7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</row>
    <row r="530" spans="1:71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</row>
    <row r="531" spans="1:71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</row>
    <row r="532" spans="1:71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</row>
    <row r="533" spans="1:71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</row>
    <row r="534" spans="1:71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</row>
    <row r="535" spans="1:7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</row>
    <row r="536" spans="1:71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</row>
    <row r="537" spans="1:71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</row>
    <row r="538" spans="1:71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</row>
    <row r="539" spans="1:71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</row>
    <row r="540" spans="1:7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</row>
    <row r="541" spans="1:71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</row>
    <row r="542" spans="1:7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</row>
    <row r="543" spans="1:71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</row>
    <row r="544" spans="1:71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</row>
    <row r="545" spans="1:71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</row>
    <row r="546" spans="1:71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</row>
    <row r="547" spans="1:71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</row>
    <row r="548" spans="1:7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</row>
    <row r="549" spans="1:71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</row>
    <row r="550" spans="1:71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</row>
    <row r="551" spans="1:71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</row>
    <row r="552" spans="1:71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</row>
    <row r="553" spans="1:71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</row>
    <row r="554" spans="1:71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</row>
    <row r="555" spans="1:71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</row>
    <row r="556" spans="1:71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</row>
    <row r="557" spans="1:71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</row>
    <row r="558" spans="1:71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</row>
    <row r="559" spans="1:71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</row>
    <row r="560" spans="1:71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</row>
    <row r="561" spans="1:71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</row>
    <row r="562" spans="1:71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</row>
    <row r="563" spans="1:71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</row>
    <row r="564" spans="1:71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</row>
    <row r="565" spans="1:71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</row>
    <row r="566" spans="1:71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</row>
    <row r="567" spans="1:71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</row>
    <row r="568" spans="1:71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</row>
    <row r="569" spans="1:71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</row>
    <row r="570" spans="1:71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</row>
    <row r="571" spans="1:71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</row>
    <row r="572" spans="1:71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</row>
    <row r="573" spans="1:71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</row>
    <row r="574" spans="1:71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</row>
    <row r="575" spans="1:71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</row>
    <row r="576" spans="1:71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</row>
    <row r="577" spans="1:71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</row>
    <row r="578" spans="1:71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</row>
    <row r="579" spans="1:71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</row>
    <row r="580" spans="1:71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</row>
    <row r="581" spans="1:71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</row>
    <row r="582" spans="1:71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</row>
    <row r="583" spans="1:71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</row>
    <row r="584" spans="1:71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</row>
    <row r="585" spans="1:71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</row>
    <row r="586" spans="1:71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</row>
    <row r="587" spans="1:71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</row>
    <row r="588" spans="1:71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</row>
    <row r="589" spans="1:71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</row>
    <row r="590" spans="1:71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</row>
    <row r="591" spans="1:71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</row>
    <row r="592" spans="1:71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</row>
    <row r="593" spans="1:71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</row>
    <row r="594" spans="1:71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</row>
    <row r="595" spans="1:71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</row>
    <row r="596" spans="1:71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</row>
    <row r="597" spans="1:71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</row>
    <row r="598" spans="1:71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</row>
    <row r="599" spans="1:71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</row>
    <row r="600" spans="1:71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</row>
    <row r="601" spans="1:71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</row>
    <row r="602" spans="1:71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</row>
    <row r="603" spans="1:71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</row>
    <row r="604" spans="1:71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</row>
    <row r="605" spans="1:71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</row>
    <row r="606" spans="1:71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</row>
    <row r="607" spans="1:71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</row>
    <row r="608" spans="1:71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</row>
    <row r="609" spans="1:71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</row>
    <row r="610" spans="1:71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</row>
    <row r="611" spans="1:71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</row>
    <row r="612" spans="1:71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</row>
    <row r="613" spans="1:71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</row>
    <row r="614" spans="1:71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</row>
    <row r="615" spans="1:71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</row>
    <row r="616" spans="1:71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</row>
    <row r="617" spans="1:71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</row>
    <row r="618" spans="1:71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</row>
    <row r="619" spans="1:71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</row>
    <row r="620" spans="1:71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</row>
    <row r="621" spans="1:71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</row>
    <row r="622" spans="1:71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</row>
    <row r="623" spans="1:71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</row>
    <row r="624" spans="1:71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</row>
    <row r="625" spans="1:71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</row>
    <row r="626" spans="1:71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</row>
    <row r="627" spans="1:71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</row>
    <row r="628" spans="1:71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</row>
    <row r="629" spans="1:71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</row>
    <row r="630" spans="1:71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</row>
    <row r="631" spans="1:71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</row>
    <row r="632" spans="1:71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</row>
    <row r="633" spans="1:71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</row>
    <row r="634" spans="1:71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</row>
    <row r="635" spans="1:71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</row>
    <row r="636" spans="1:71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</row>
    <row r="637" spans="1:71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</row>
    <row r="638" spans="1:71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</row>
    <row r="639" spans="1:71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</row>
    <row r="640" spans="1:71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</row>
    <row r="641" spans="1:71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</row>
    <row r="642" spans="1:71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</row>
    <row r="643" spans="1:71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</row>
    <row r="644" spans="1:71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</row>
    <row r="645" spans="1:71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</row>
    <row r="646" spans="1:71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</row>
    <row r="647" spans="1:71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</row>
    <row r="648" spans="1:71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</row>
    <row r="649" spans="1:71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</row>
    <row r="650" spans="1:71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</row>
    <row r="651" spans="1:71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</row>
    <row r="652" spans="1:71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</row>
    <row r="653" spans="1:71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</row>
    <row r="654" spans="1:71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</row>
    <row r="655" spans="1:71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</row>
    <row r="656" spans="1:71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</row>
    <row r="657" spans="1:71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</row>
    <row r="658" spans="1:71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</row>
    <row r="659" spans="1:71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</row>
    <row r="660" spans="1:71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</row>
    <row r="661" spans="1:71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</row>
    <row r="662" spans="1:71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</row>
    <row r="663" spans="1:71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</row>
    <row r="664" spans="1:71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</row>
    <row r="665" spans="1:71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</row>
    <row r="666" spans="1:71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</row>
    <row r="667" spans="1:71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</row>
    <row r="668" spans="1:71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</row>
    <row r="669" spans="1:71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</row>
    <row r="670" spans="1:71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</row>
    <row r="671" spans="1:71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</row>
    <row r="672" spans="1:71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</row>
    <row r="673" spans="1:71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</row>
    <row r="674" spans="1:71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</row>
    <row r="675" spans="1:71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</row>
    <row r="676" spans="1:71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</row>
    <row r="677" spans="1:71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</row>
    <row r="678" spans="1:71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</row>
    <row r="679" spans="1:71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</row>
    <row r="680" spans="1:71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</row>
    <row r="681" spans="1:71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</row>
    <row r="682" spans="1:71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</row>
    <row r="683" spans="1:71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</row>
    <row r="684" spans="1:71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</row>
    <row r="685" spans="1:71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</row>
    <row r="686" spans="1:71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</row>
    <row r="687" spans="1:71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</row>
    <row r="688" spans="1:71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</row>
    <row r="689" spans="1:71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</row>
    <row r="690" spans="1:71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</row>
    <row r="691" spans="1:71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</row>
    <row r="692" spans="1:71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</row>
    <row r="693" spans="1:71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</row>
    <row r="694" spans="1:71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</row>
    <row r="695" spans="1:71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</row>
    <row r="696" spans="1:71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</row>
    <row r="697" spans="1:71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</row>
    <row r="698" spans="1:71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</row>
    <row r="699" spans="1:71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</row>
    <row r="700" spans="1:71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</row>
    <row r="701" spans="1:71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</row>
    <row r="702" spans="1:71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</row>
    <row r="703" spans="1:71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</row>
    <row r="704" spans="1:71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</row>
    <row r="705" spans="1:71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</row>
    <row r="706" spans="1:71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</row>
    <row r="707" spans="1:71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</row>
    <row r="708" spans="1:71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</row>
    <row r="709" spans="1:71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</row>
    <row r="710" spans="1:71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</row>
    <row r="711" spans="1:71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</row>
    <row r="712" spans="1:71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</row>
    <row r="713" spans="1:71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</row>
    <row r="714" spans="1:71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</row>
    <row r="715" spans="1:71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</row>
    <row r="716" spans="1:71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</row>
    <row r="717" spans="1:71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</row>
    <row r="718" spans="1:71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</row>
    <row r="719" spans="1:71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</row>
    <row r="720" spans="1:71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</row>
    <row r="721" spans="1:71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</row>
    <row r="722" spans="1:71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</row>
    <row r="723" spans="1:71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</row>
    <row r="724" spans="1:71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</row>
    <row r="725" spans="1:71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</row>
    <row r="726" spans="1:71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</row>
    <row r="727" spans="1:71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</row>
    <row r="728" spans="1:71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</row>
    <row r="729" spans="1:71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</row>
    <row r="730" spans="1:71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</row>
    <row r="731" spans="1:71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</row>
    <row r="732" spans="1:71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</row>
    <row r="733" spans="1:71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</row>
    <row r="734" spans="1:71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</row>
    <row r="735" spans="1:71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</row>
    <row r="736" spans="1:71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</row>
    <row r="737" spans="1:71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</row>
    <row r="738" spans="1:71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</row>
    <row r="739" spans="1:71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</row>
    <row r="740" spans="1:71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</row>
    <row r="741" spans="1:71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</row>
    <row r="742" spans="1:71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</row>
    <row r="743" spans="1:71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</row>
    <row r="744" spans="1:71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</row>
    <row r="745" spans="1:71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</row>
    <row r="746" spans="1:71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</row>
    <row r="747" spans="1:71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</row>
    <row r="748" spans="1:71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</row>
    <row r="749" spans="1:71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</row>
    <row r="750" spans="1:71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</row>
    <row r="751" spans="1:71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</row>
    <row r="752" spans="1:71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</row>
    <row r="753" spans="1:71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</row>
    <row r="754" spans="1:71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</row>
    <row r="755" spans="1:71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</row>
    <row r="756" spans="1:71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</row>
    <row r="757" spans="1:71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</row>
    <row r="758" spans="1:71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</row>
    <row r="759" spans="1:71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</row>
    <row r="760" spans="1:71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</row>
    <row r="761" spans="1:71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</row>
    <row r="762" spans="1:71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</row>
    <row r="763" spans="1:71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</row>
    <row r="764" spans="1:71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</row>
    <row r="765" spans="1:71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</row>
    <row r="766" spans="1:71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</row>
    <row r="767" spans="1:71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</row>
    <row r="768" spans="1:71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</row>
    <row r="769" spans="1:71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</row>
    <row r="770" spans="1:71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</row>
    <row r="771" spans="1:71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</row>
    <row r="772" spans="1:71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</row>
    <row r="773" spans="1:71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</row>
    <row r="774" spans="1:71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</row>
    <row r="775" spans="1:71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</row>
    <row r="776" spans="1:71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</row>
    <row r="777" spans="1:71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</row>
    <row r="778" spans="1:71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</row>
    <row r="779" spans="1:71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</row>
    <row r="780" spans="1:71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</row>
    <row r="781" spans="1:71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</row>
    <row r="782" spans="1:71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</row>
    <row r="783" spans="1:71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</row>
    <row r="784" spans="1:71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</row>
    <row r="785" spans="1:71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</row>
    <row r="786" spans="1:71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</row>
    <row r="787" spans="1:71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</row>
    <row r="788" spans="1:71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</row>
    <row r="789" spans="1:71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</row>
    <row r="790" spans="1:71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</row>
    <row r="791" spans="1:71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</row>
    <row r="792" spans="1:71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</row>
    <row r="793" spans="1:71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</row>
    <row r="794" spans="1:71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</row>
    <row r="795" spans="1:71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</row>
    <row r="796" spans="1:71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</row>
    <row r="797" spans="1:71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</row>
    <row r="798" spans="1:71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</row>
    <row r="799" spans="1:71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</row>
    <row r="800" spans="1:71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</row>
    <row r="801" spans="1:71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</row>
    <row r="802" spans="1:71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</row>
    <row r="803" spans="1:71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</row>
    <row r="804" spans="1:71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</row>
    <row r="805" spans="1:71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</row>
    <row r="806" spans="1:71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</row>
    <row r="807" spans="1:71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</row>
    <row r="808" spans="1:71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</row>
    <row r="809" spans="1:71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</row>
    <row r="810" spans="1:71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</row>
    <row r="811" spans="1:71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</row>
    <row r="812" spans="1:71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</row>
    <row r="813" spans="1:71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</row>
    <row r="814" spans="1:71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</row>
    <row r="815" spans="1:71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</row>
    <row r="816" spans="1:71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</row>
    <row r="817" spans="1:71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</row>
    <row r="818" spans="1:71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</row>
    <row r="819" spans="1:71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</row>
    <row r="820" spans="1:71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</row>
    <row r="821" spans="1:71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</row>
    <row r="822" spans="1:71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</row>
    <row r="823" spans="1:71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</row>
    <row r="824" spans="1:71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</row>
    <row r="825" spans="1:71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</row>
    <row r="826" spans="1:71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</row>
    <row r="827" spans="1:71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</row>
    <row r="828" spans="1:71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</row>
    <row r="829" spans="1:71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</row>
    <row r="830" spans="1:71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</row>
    <row r="831" spans="1:71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</row>
    <row r="832" spans="1:71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</row>
    <row r="833" spans="1:71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</row>
    <row r="834" spans="1:71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</row>
    <row r="835" spans="1:71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</row>
    <row r="836" spans="1:71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</row>
    <row r="837" spans="1:71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</row>
    <row r="838" spans="1:71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</row>
    <row r="839" spans="1:71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</row>
    <row r="840" spans="1:71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</row>
    <row r="841" spans="1:71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</row>
    <row r="842" spans="1:71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</row>
    <row r="843" spans="1:71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</row>
    <row r="844" spans="1:71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</row>
    <row r="845" spans="1:71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</row>
    <row r="846" spans="1:71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</row>
    <row r="847" spans="1:71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</row>
    <row r="848" spans="1:71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</row>
    <row r="849" spans="1:71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</row>
    <row r="850" spans="1:71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</row>
    <row r="851" spans="1:71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</row>
    <row r="852" spans="1:71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</row>
    <row r="853" spans="1:71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</row>
    <row r="854" spans="1:71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</row>
    <row r="855" spans="1:71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</row>
    <row r="856" spans="1:71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</row>
    <row r="857" spans="1:71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</row>
    <row r="858" spans="1:71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</row>
    <row r="859" spans="1:71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</row>
    <row r="860" spans="1:71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</row>
    <row r="861" spans="1:71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</row>
    <row r="862" spans="1:71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</row>
    <row r="863" spans="1:71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</row>
    <row r="864" spans="1:71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</row>
    <row r="865" spans="1:71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</row>
    <row r="866" spans="1:71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</row>
    <row r="867" spans="1:71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</row>
    <row r="868" spans="1:71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</row>
    <row r="869" spans="1:71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</row>
    <row r="870" spans="1:71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</row>
    <row r="871" spans="1:71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</row>
    <row r="872" spans="1:71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</row>
    <row r="873" spans="1:71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</row>
    <row r="874" spans="1:71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</row>
    <row r="875" spans="1:71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</row>
    <row r="876" spans="1:71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</row>
    <row r="877" spans="1:71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</row>
    <row r="878" spans="1:71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</row>
    <row r="879" spans="1:71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</row>
    <row r="880" spans="1:71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</row>
    <row r="881" spans="1:71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</row>
    <row r="882" spans="1:71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</row>
    <row r="883" spans="1:71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</row>
    <row r="884" spans="1:71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</row>
    <row r="885" spans="1:71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</row>
    <row r="886" spans="1:71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</row>
    <row r="887" spans="1:71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</row>
    <row r="888" spans="1:71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</row>
    <row r="889" spans="1:71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</row>
    <row r="890" spans="1:71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</row>
    <row r="891" spans="1:71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</row>
    <row r="892" spans="1:71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</row>
    <row r="893" spans="1:71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</row>
    <row r="894" spans="1:71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</row>
    <row r="895" spans="1:71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</row>
    <row r="896" spans="1:71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</row>
    <row r="897" spans="1:71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</row>
    <row r="898" spans="1:71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</row>
    <row r="899" spans="1:71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</row>
    <row r="900" spans="1:71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</row>
    <row r="901" spans="1:71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</row>
    <row r="902" spans="1:71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</row>
    <row r="903" spans="1:71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</row>
    <row r="904" spans="1:71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</row>
    <row r="905" spans="1:71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</row>
    <row r="906" spans="1:71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</row>
    <row r="907" spans="1:71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</row>
    <row r="908" spans="1:71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</row>
    <row r="909" spans="1:71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</row>
    <row r="910" spans="1:71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</row>
    <row r="911" spans="1:71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</row>
    <row r="912" spans="1:71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</row>
    <row r="913" spans="1:71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</row>
    <row r="914" spans="1:71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</row>
    <row r="915" spans="1:71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</row>
    <row r="916" spans="1:71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</row>
    <row r="917" spans="1:71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</row>
    <row r="918" spans="1:71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</row>
    <row r="919" spans="1:71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</row>
    <row r="920" spans="1:71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</row>
    <row r="921" spans="1:71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</row>
    <row r="922" spans="1:71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</row>
    <row r="923" spans="1:71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</row>
    <row r="924" spans="1:71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</row>
    <row r="925" spans="1:71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</row>
    <row r="926" spans="1:71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</row>
    <row r="927" spans="1:71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</row>
    <row r="928" spans="1:71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</row>
    <row r="929" spans="1:71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</row>
    <row r="930" spans="1:71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</row>
    <row r="931" spans="1:71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</row>
    <row r="932" spans="1:71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</row>
    <row r="933" spans="1:71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</row>
    <row r="934" spans="1:71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</row>
    <row r="935" spans="1:71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</row>
    <row r="936" spans="1:71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</row>
    <row r="937" spans="1:71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</row>
    <row r="938" spans="1:71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</row>
    <row r="939" spans="1:71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</row>
    <row r="940" spans="1:71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</row>
    <row r="941" spans="1:71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</row>
    <row r="942" spans="1:71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</row>
    <row r="943" spans="1:71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</row>
    <row r="944" spans="1:71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</row>
    <row r="945" spans="1:71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</row>
    <row r="946" spans="1:71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</row>
    <row r="947" spans="1:71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</row>
    <row r="948" spans="1:71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</row>
    <row r="949" spans="1:71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</row>
    <row r="950" spans="1:71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</row>
    <row r="951" spans="1:71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</row>
    <row r="952" spans="1:71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</row>
    <row r="953" spans="1:71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</row>
    <row r="954" spans="1:71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</row>
    <row r="955" spans="1:71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</row>
    <row r="956" spans="1:71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</row>
    <row r="957" spans="1:71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</row>
    <row r="958" spans="1:71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</row>
    <row r="959" spans="1:71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</row>
    <row r="960" spans="1:71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</row>
    <row r="961" spans="1:71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</row>
    <row r="962" spans="1:71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</row>
    <row r="963" spans="1:71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</row>
    <row r="964" spans="1:71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</row>
    <row r="965" spans="1:71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</row>
    <row r="966" spans="1:71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</row>
    <row r="967" spans="1:71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</row>
    <row r="968" spans="1:71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</row>
    <row r="969" spans="1:71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</row>
    <row r="970" spans="1:71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</row>
    <row r="971" spans="1:71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</row>
    <row r="972" spans="1:71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</row>
    <row r="973" spans="1:71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</row>
    <row r="974" spans="1:71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</row>
    <row r="975" spans="1:71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</row>
    <row r="976" spans="1:71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</row>
    <row r="977" spans="1:71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</row>
    <row r="978" spans="1:71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</row>
    <row r="979" spans="1:71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</row>
    <row r="980" spans="1:71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</row>
    <row r="981" spans="1:71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</row>
    <row r="982" spans="1:71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</row>
    <row r="983" spans="1:71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</row>
    <row r="984" spans="1:71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</row>
    <row r="985" spans="1:71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</row>
    <row r="986" spans="1:71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</row>
    <row r="987" spans="1:71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</row>
    <row r="988" spans="1:71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</row>
    <row r="989" spans="1:71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</row>
    <row r="990" spans="1:71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</row>
    <row r="991" spans="1:71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</row>
    <row r="992" spans="1:71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</row>
    <row r="993" spans="1:71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</row>
    <row r="994" spans="1:71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</row>
    <row r="995" spans="1:71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</row>
    <row r="996" spans="1:71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</row>
    <row r="997" spans="1:71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</row>
    <row r="998" spans="1:71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</row>
    <row r="999" spans="1:71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</row>
    <row r="1000" spans="1:71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</row>
    <row r="1001" spans="1:71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</row>
    <row r="1002" spans="1:71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</row>
    <row r="1003" spans="1:71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</row>
    <row r="1004" spans="1:71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</row>
    <row r="1005" spans="1:71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</row>
    <row r="1006" spans="1:71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</row>
    <row r="1007" spans="1:71" ht="12.7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</row>
    <row r="1008" spans="1:71" ht="12.7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</row>
    <row r="1009" spans="1:71" ht="12.7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</row>
    <row r="1010" spans="1:71" ht="12.7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</row>
    <row r="1011" spans="1:71" ht="12.7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</row>
    <row r="1012" spans="1:71" ht="12.7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</row>
    <row r="1013" spans="1:71" ht="12.7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</row>
    <row r="1014" spans="1:71" ht="12.7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</row>
    <row r="1015" spans="1:71" ht="12.7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</row>
    <row r="1016" spans="1:71" ht="12.7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</row>
    <row r="1017" spans="1:71" ht="12.7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</row>
    <row r="1018" spans="1:71" ht="12.7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</row>
    <row r="1019" spans="1:71" ht="12.7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</row>
    <row r="1020" spans="1:71" ht="12.7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</row>
    <row r="1021" spans="1:71" ht="12.7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</row>
    <row r="1022" spans="1:71" ht="12.7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</row>
    <row r="1023" spans="1:71" ht="12.7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</row>
    <row r="1024" spans="1:71" ht="12.7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</row>
    <row r="1025" spans="1:71" ht="12.7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</row>
    <row r="1026" spans="1:71" ht="12.7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</row>
    <row r="1027" spans="1:71" ht="12.7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</row>
    <row r="1028" spans="1:71" ht="12.7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</row>
    <row r="1029" spans="1:71" ht="12.7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</row>
    <row r="1030" spans="1:71" ht="12.7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</row>
    <row r="1031" spans="1:71" ht="12.7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</row>
    <row r="1032" spans="1:71" ht="12.7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</row>
    <row r="1033" spans="1:71" ht="12.7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</row>
    <row r="1034" spans="1:71" ht="12.7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</row>
    <row r="1035" spans="1:71" ht="12.7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</row>
    <row r="1036" spans="1:71" ht="12.7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</row>
    <row r="1037" spans="1:71" ht="12.7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</row>
    <row r="1038" spans="1:71" ht="12.7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</row>
    <row r="1039" spans="1:71" ht="12.7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</row>
    <row r="1040" spans="1:71" ht="12.7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</row>
    <row r="1041" spans="1:71" ht="12.7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</row>
    <row r="1042" spans="1:71" ht="12.7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</row>
    <row r="1043" spans="1:71" ht="12.7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</row>
    <row r="1044" spans="1:71" ht="12.7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</row>
    <row r="1045" spans="1:71" ht="12.7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</row>
    <row r="1046" spans="1:71" ht="12.7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</row>
    <row r="1047" spans="1:71" ht="12.7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</row>
    <row r="1048" spans="1:71" ht="12.7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</row>
    <row r="1049" spans="1:71" ht="12.7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</row>
    <row r="1050" spans="1:71" ht="12.7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</row>
    <row r="1051" spans="1:71" ht="12.7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</row>
    <row r="1052" spans="1:71" ht="12.7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</row>
    <row r="1053" spans="1:71" ht="12.7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</row>
    <row r="1054" spans="1:71" ht="12.7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</row>
    <row r="1055" spans="1:71" ht="12.7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</row>
    <row r="1056" spans="1:71" ht="12.7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</row>
    <row r="1057" spans="1:71" ht="12.7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</row>
    <row r="1058" spans="1:71" ht="12.7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</row>
    <row r="1059" spans="1:71" ht="12.7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</row>
    <row r="1060" spans="1:71" ht="12.7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</row>
    <row r="1061" spans="1:71" ht="12.7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</row>
    <row r="1062" spans="1:71" ht="12.7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</row>
    <row r="1063" spans="1:71" ht="12.7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</row>
    <row r="1064" spans="1:71" ht="12.7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</row>
    <row r="1065" spans="1:71" ht="12.7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</row>
    <row r="1066" spans="1:71" ht="12.7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</row>
    <row r="1067" spans="1:71" ht="12.7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</row>
    <row r="1068" spans="1:71" ht="12.7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</row>
    <row r="1069" spans="1:71" ht="12.7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</row>
    <row r="1070" spans="1:71" ht="12.7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</row>
    <row r="1071" spans="1:71" ht="12.7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</row>
    <row r="1072" spans="1:71" ht="12.7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</row>
    <row r="1073" spans="1:71" ht="12.7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</row>
    <row r="1074" spans="1:71" ht="12.7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</row>
    <row r="1075" spans="1:71" ht="12.7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</row>
    <row r="1076" spans="1:71" ht="12.7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</row>
    <row r="1077" spans="1:71" ht="12.7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</row>
    <row r="1078" spans="1:71" ht="12.7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</row>
    <row r="1079" spans="1:71" ht="12.7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</row>
    <row r="1080" spans="1:71" ht="12.7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</row>
    <row r="1081" spans="1:71" ht="12.7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</row>
    <row r="1082" spans="1:71" ht="12.7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</row>
    <row r="1083" spans="1:71" ht="12.7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</row>
    <row r="1084" spans="1:71" ht="12.7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</row>
    <row r="1085" spans="1:71" ht="12.7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</row>
    <row r="1086" spans="1:71" ht="12.7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</row>
    <row r="1087" spans="1:71" ht="12.7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</row>
    <row r="1088" spans="1:71" ht="12.7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</row>
    <row r="1089" spans="1:71" ht="12.7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</row>
    <row r="1090" spans="1:71" ht="12.7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</row>
    <row r="1091" spans="1:71" ht="12.7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</row>
    <row r="1092" spans="1:71" ht="12.7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</row>
    <row r="1093" spans="1:71" ht="12.7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</row>
    <row r="1094" spans="1:71" ht="12.7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</row>
    <row r="1095" spans="1:71" ht="12.7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</row>
    <row r="1096" spans="1:71" ht="12.7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</row>
    <row r="1097" spans="1:71" ht="12.7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</row>
    <row r="1098" spans="1:71" ht="12.7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</row>
    <row r="1099" spans="1:71" ht="12.7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</row>
    <row r="1100" spans="1:71" ht="12.7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</row>
    <row r="1101" spans="1:71" ht="12.7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</row>
    <row r="1102" spans="1:71" ht="12.7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</row>
    <row r="1103" spans="1:71" ht="12.7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</row>
    <row r="1104" spans="1:71" ht="12.7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</row>
    <row r="1105" spans="1:71" ht="12.7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</row>
    <row r="1106" spans="1:71" ht="12.7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</row>
    <row r="1107" spans="1:71" ht="12.7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</row>
    <row r="1108" spans="1:71" ht="12.7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</row>
    <row r="1109" spans="1:71" ht="12.7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</row>
    <row r="1110" spans="1:71" ht="12.7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</row>
    <row r="1111" spans="1:71" ht="12.7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</row>
    <row r="1112" spans="1:71" ht="12.7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</row>
    <row r="1113" spans="1:71" ht="12.7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</row>
    <row r="1114" spans="1:71" ht="12.7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</row>
    <row r="1115" spans="1:71" ht="12.7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</row>
    <row r="1116" spans="1:71" ht="12.7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</row>
    <row r="1117" spans="1:71" ht="12.7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</row>
    <row r="1118" spans="1:71" ht="12.7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</row>
    <row r="1119" spans="1:71" ht="12.7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</row>
    <row r="1120" spans="1:71" ht="12.7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</row>
    <row r="1121" spans="1:71" ht="12.7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</row>
    <row r="1122" spans="1:71" ht="12.7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</row>
    <row r="1123" spans="1:71" ht="12.7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</row>
    <row r="1124" spans="1:71" ht="12.7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</row>
    <row r="1125" spans="1:71" ht="12.7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</row>
    <row r="1126" spans="1:71" ht="12.7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</row>
    <row r="1127" spans="1:71" ht="12.7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</row>
    <row r="1128" spans="1:71" ht="12.7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</row>
    <row r="1129" spans="1:71" ht="12.7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</row>
    <row r="1130" spans="1:71" ht="12.7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</row>
    <row r="1131" spans="1:71" ht="12.7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</row>
    <row r="1132" spans="1:71" ht="12.7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</row>
    <row r="1133" spans="1:71" ht="12.7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</row>
    <row r="1134" spans="1:71" ht="12.7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</row>
    <row r="1135" spans="1:71" ht="12.7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</row>
    <row r="1136" spans="1:71" ht="12.7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</row>
    <row r="1137" spans="1:71" ht="12.7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</row>
    <row r="1138" spans="1:71" ht="12.7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</row>
    <row r="1139" spans="1:71" ht="12.7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</row>
    <row r="1140" spans="1:71" ht="12.7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</row>
    <row r="1141" spans="1:71" ht="12.7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</row>
    <row r="1142" spans="1:71" ht="12.7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</row>
    <row r="1143" spans="1:71" ht="12.7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</row>
    <row r="1144" spans="1:71" ht="12.7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</row>
    <row r="1145" spans="1:71" ht="12.7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</row>
    <row r="1146" spans="1:71" ht="12.7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</row>
    <row r="1147" spans="1:71" ht="12.7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</row>
    <row r="1148" spans="1:71" ht="12.7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</row>
    <row r="1149" spans="1:71" ht="12.7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</row>
    <row r="1150" spans="1:71" ht="12.7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</row>
    <row r="1151" spans="1:71" ht="12.7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</row>
    <row r="1152" spans="1:71" ht="12.7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</row>
    <row r="1153" spans="1:71" ht="12.7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</row>
    <row r="1154" spans="1:71" ht="12.7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</row>
    <row r="1155" spans="1:71" ht="12.7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</row>
    <row r="1156" spans="1:71" ht="12.7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</row>
    <row r="1157" spans="1:71" ht="12.7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</row>
    <row r="1158" spans="1:71" ht="12.7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</row>
    <row r="1159" spans="1:71" ht="12.7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</row>
    <row r="1160" spans="1:71" ht="12.7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</row>
    <row r="1161" spans="1:71" ht="12.7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</row>
    <row r="1162" spans="1:71" ht="12.7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</row>
    <row r="1163" spans="1:71" ht="12.7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</row>
    <row r="1164" spans="1:71" ht="12.7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</row>
    <row r="1165" spans="1:71" ht="12.7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</row>
    <row r="1166" spans="1:71" ht="12.7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</row>
    <row r="1167" spans="1:71" ht="12.7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</row>
    <row r="1168" spans="1:71" ht="12.7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</row>
    <row r="1169" spans="1:71" ht="12.7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</row>
    <row r="1170" spans="1:71" ht="12.7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</row>
    <row r="1171" spans="1:71" ht="12.7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</row>
    <row r="1172" spans="1:71" ht="12.7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</row>
    <row r="1173" spans="1:71" ht="12.7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</row>
    <row r="1174" spans="1:71" ht="12.7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</row>
    <row r="1175" spans="1:71" ht="12.7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</row>
    <row r="1176" spans="1:71" ht="12.7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</row>
    <row r="1177" spans="1:71" ht="12.7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</row>
    <row r="1178" spans="1:71" ht="12.7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</row>
    <row r="1179" spans="1:71" ht="12.7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</row>
    <row r="1180" spans="1:71" ht="12.7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</row>
    <row r="1181" spans="1:71" ht="12.7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</row>
    <row r="1182" spans="1:71" ht="12.7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</row>
    <row r="1183" spans="1:71" ht="12.7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</row>
    <row r="1184" spans="1:71" ht="12.7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</row>
    <row r="1185" spans="1:71" ht="12.7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</row>
    <row r="1186" spans="1:71" ht="12.7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</row>
    <row r="1187" spans="1:71" ht="12.7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</row>
    <row r="1188" spans="1:71" ht="12.7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</row>
    <row r="1189" spans="1:71" ht="12.7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</row>
    <row r="1190" spans="1:71" ht="12.7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</row>
    <row r="1191" spans="1:71" ht="12.7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</row>
    <row r="1192" spans="1:71" ht="12.7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</row>
    <row r="1193" spans="1:71" ht="12.7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</row>
    <row r="1194" spans="1:71" ht="12.7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</row>
    <row r="1195" spans="1:71" ht="12.7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</row>
    <row r="1196" spans="1:71" ht="12.7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</row>
    <row r="1197" spans="1:71" ht="12.7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</row>
    <row r="1198" spans="1:71" ht="12.7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</row>
    <row r="1199" spans="1:71" ht="12.7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</row>
    <row r="1200" spans="1:71" ht="12.7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</row>
    <row r="1201" spans="1:71" ht="12.7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</row>
    <row r="1202" spans="1:71" ht="12.7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</row>
    <row r="1203" spans="1:71" ht="12.7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</row>
    <row r="1204" spans="1:71" ht="12.7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</row>
    <row r="1205" spans="1:71" ht="12.7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</row>
    <row r="1206" spans="1:71" ht="12.7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</row>
    <row r="1207" spans="1:71" ht="12.7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</row>
    <row r="1208" spans="1:71" ht="12.7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</row>
    <row r="1209" spans="1:71" ht="12.7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</row>
    <row r="1210" spans="1:71" ht="12.7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</row>
    <row r="1211" spans="1:71" ht="12.7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</row>
    <row r="1212" spans="1:71" ht="12.7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</row>
    <row r="1213" spans="1:71" ht="12.7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</row>
    <row r="1214" spans="1:71" ht="12.7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</row>
    <row r="1215" spans="1:71" ht="12.7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</row>
    <row r="1216" spans="1:71" ht="12.7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</row>
    <row r="1217" spans="1:71" ht="12.7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</row>
    <row r="1218" spans="1:71" ht="12.7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</row>
    <row r="1219" spans="1:71" ht="12.7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</row>
    <row r="1220" spans="1:71" ht="12.7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</row>
    <row r="1221" spans="1:71" ht="12.7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</row>
    <row r="1222" spans="1:71" ht="12.7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</row>
    <row r="1223" spans="1:71" ht="12.7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</row>
    <row r="1224" spans="1:71" ht="12.7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</row>
    <row r="1225" spans="1:71" ht="12.7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</row>
    <row r="1226" spans="1:71" ht="12.7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</row>
    <row r="1227" spans="1:71" ht="12.7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</row>
    <row r="1228" spans="1:71" ht="12.7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</row>
    <row r="1229" spans="1:71" ht="12.7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</row>
    <row r="1230" spans="1:71" ht="12.7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</row>
    <row r="1231" spans="1:71" ht="12.7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</row>
    <row r="1232" spans="1:71" ht="12.7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</row>
    <row r="1233" spans="1:71" ht="12.7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</row>
    <row r="1234" spans="1:71" ht="12.7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</row>
    <row r="1235" spans="1:71" ht="12.7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</row>
    <row r="1236" spans="1:71" ht="12.7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</row>
    <row r="1237" spans="1:71" ht="12.7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</row>
    <row r="1238" spans="1:71" ht="12.7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</row>
    <row r="1239" spans="1:71" ht="12.7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</row>
    <row r="1240" spans="1:71" ht="12.7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</row>
    <row r="1241" spans="1:71" ht="12.7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</row>
    <row r="1242" spans="1:71" ht="12.7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</row>
    <row r="1243" spans="1:71" ht="12.7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</row>
    <row r="1244" spans="1:71" ht="12.7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</row>
    <row r="1245" spans="1:71" ht="12.7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</row>
    <row r="1246" spans="1:71" ht="12.7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</row>
    <row r="1247" spans="1:71" ht="12.7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</row>
    <row r="1248" spans="1:71" ht="12.7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</row>
    <row r="1249" spans="1:71" ht="12.7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</row>
    <row r="1250" spans="1:71" ht="12.7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</row>
    <row r="1251" spans="1:71" ht="12.7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</row>
    <row r="1252" spans="1:71" ht="12.7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</row>
    <row r="1253" spans="1:71" ht="12.7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</row>
    <row r="1254" spans="1:71" ht="12.7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</row>
    <row r="1255" spans="1:71" ht="12.7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</row>
    <row r="1256" spans="1:71" ht="12.7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</row>
    <row r="1257" spans="1:71" ht="12.7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</row>
    <row r="1258" spans="1:71" ht="12.7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</row>
    <row r="1259" spans="1:71" ht="12.7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</row>
    <row r="1260" spans="1:71" ht="12.7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</row>
    <row r="1261" spans="1:71" ht="12.7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</row>
    <row r="1262" spans="1:71" ht="12.7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</row>
    <row r="1263" spans="1:71" ht="12.7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</row>
    <row r="1264" spans="1:71" ht="12.7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</row>
    <row r="1265" spans="1:71" ht="12.7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</row>
    <row r="1266" spans="1:71" ht="12.7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</row>
    <row r="1267" spans="1:71" ht="12.7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</row>
    <row r="1268" spans="1:71" ht="12.7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</row>
    <row r="1269" spans="1:71" ht="12.7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</row>
    <row r="1270" spans="1:71" ht="12.7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</row>
    <row r="1271" spans="1:71" ht="12.7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</row>
    <row r="1272" spans="1:71" ht="12.7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</row>
    <row r="1273" spans="1:71" ht="12.7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</row>
    <row r="1274" spans="1:71" ht="12.7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</row>
    <row r="1275" spans="1:71" ht="12.7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</row>
    <row r="1276" spans="1:71" ht="12.7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</row>
    <row r="1277" spans="1:71" ht="12.7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</row>
    <row r="1278" spans="1:71" ht="12.7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</row>
    <row r="1279" spans="1:71" ht="12.7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</row>
    <row r="1280" spans="1:71" ht="12.7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</row>
    <row r="1281" spans="1:71" ht="12.7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</row>
    <row r="1282" spans="1:71" ht="12.7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</row>
    <row r="1283" spans="1:71" ht="12.7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</row>
    <row r="1284" spans="1:71" ht="12.7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</row>
    <row r="1285" spans="1:71" ht="12.7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</row>
    <row r="1286" spans="1:71" ht="12.7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</row>
    <row r="1287" spans="1:71" ht="12.7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</row>
    <row r="1288" spans="1:71" ht="12.7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</row>
    <row r="1289" spans="1:71" ht="12.7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</row>
    <row r="1290" spans="1:71" ht="12.7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</row>
    <row r="1291" spans="1:71" ht="12.7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</row>
    <row r="1292" spans="1:71" ht="12.7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</row>
    <row r="1293" spans="1:71" ht="12.7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</row>
    <row r="1294" spans="1:71" ht="12.7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</row>
    <row r="1295" spans="1:71" ht="12.7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</row>
    <row r="1296" spans="1:71" ht="12.7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</row>
    <row r="1297" spans="1:71" ht="12.7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</row>
    <row r="1298" spans="1:71" ht="12.7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</row>
    <row r="1299" spans="1:71" ht="12.7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</row>
    <row r="1300" spans="1:71" ht="12.7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</row>
    <row r="1301" spans="1:71" ht="12.7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</row>
    <row r="1302" spans="1:71" ht="12.7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</row>
    <row r="1303" spans="1:71" ht="12.7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</row>
    <row r="1304" spans="1:71" ht="12.7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</row>
    <row r="1305" spans="1:71" ht="12.7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</row>
    <row r="1306" spans="1:71" ht="12.7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</row>
    <row r="1307" spans="1:71" ht="12.7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</row>
    <row r="1308" spans="1:71" ht="12.7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</row>
    <row r="1309" spans="1:71" ht="12.7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</row>
    <row r="1310" spans="1:71" ht="12.7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</row>
    <row r="1311" spans="1:71" ht="12.7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</row>
    <row r="1312" spans="1:71" ht="12.7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</row>
    <row r="1313" spans="1:71" ht="12.7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</row>
    <row r="1314" spans="1:71" ht="12.7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</row>
    <row r="1315" spans="1:71" ht="12.7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</row>
    <row r="1316" spans="1:71" ht="12.7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</row>
    <row r="1317" spans="1:71" ht="12.7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</row>
    <row r="1318" spans="1:71" ht="12.7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</row>
    <row r="1319" spans="1:71" ht="12.7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</row>
    <row r="1320" spans="1:71" ht="12.7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</row>
    <row r="1321" spans="1:71" ht="12.7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</row>
    <row r="1322" spans="1:71" ht="12.7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</row>
    <row r="1323" spans="1:71" ht="12.7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</row>
    <row r="1324" spans="1:71" ht="12.7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</row>
    <row r="1325" spans="1:71" ht="12.7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</row>
    <row r="1326" spans="1:71" ht="12.7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</row>
    <row r="1327" spans="1:71" ht="12.7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</row>
    <row r="1328" spans="1:71" ht="12.7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</row>
    <row r="1329" spans="1:71" ht="12.7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</row>
    <row r="1330" spans="1:71" ht="12.7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</row>
    <row r="1331" spans="1:71" ht="12.7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</row>
    <row r="1332" spans="1:71" ht="12.7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</row>
    <row r="1333" spans="1:71" ht="12.7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</row>
    <row r="1334" spans="1:71" ht="12.7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</row>
    <row r="1335" spans="1:71" ht="12.7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</row>
    <row r="1336" spans="1:71" ht="12.7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</row>
    <row r="1337" spans="1:71" ht="12.7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</row>
    <row r="1338" spans="1:71" ht="12.7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</row>
    <row r="1339" spans="1:71" ht="12.7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</row>
    <row r="1340" spans="1:71" ht="12.7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</row>
    <row r="1341" spans="1:71" ht="12.7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</row>
    <row r="1342" spans="1:71" ht="12.7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</row>
    <row r="1343" spans="1:71" ht="12.7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</row>
    <row r="1344" spans="1:71" ht="12.7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</row>
    <row r="1345" spans="1:71" ht="12.7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</row>
    <row r="1346" spans="1:71" ht="12.7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</row>
    <row r="1347" spans="1:71" ht="12.7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</row>
    <row r="1348" spans="1:71" ht="12.7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</row>
    <row r="1349" spans="1:71" ht="12.7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</row>
    <row r="1350" spans="1:71" ht="12.7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</row>
    <row r="1351" spans="1:71" ht="12.7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</row>
    <row r="1352" spans="1:71" ht="12.7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</row>
    <row r="1353" spans="1:71" ht="12.7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</row>
    <row r="1354" spans="1:71" ht="12.7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</row>
    <row r="1355" spans="1:71" ht="12.7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</row>
    <row r="1356" spans="1:71" ht="12.7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</row>
    <row r="1357" spans="1:71" ht="12.7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</row>
    <row r="1358" spans="1:71" ht="12.7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</row>
    <row r="1359" spans="1:71" ht="12.7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</row>
    <row r="1360" spans="1:71" ht="12.7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</row>
    <row r="1361" spans="1:71" ht="12.7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</row>
    <row r="1362" spans="1:71" ht="12.7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</row>
    <row r="1363" spans="1:71" ht="12.7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</row>
    <row r="1364" spans="1:71" ht="12.7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</row>
    <row r="1365" spans="1:71" ht="12.7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</row>
    <row r="1366" spans="1:71" ht="12.7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</row>
    <row r="1367" spans="1:71" ht="12.7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</row>
    <row r="1368" spans="1:71" ht="12.7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</row>
    <row r="1369" spans="1:71" ht="12.7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</row>
    <row r="1370" spans="1:71" ht="12.7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</row>
    <row r="1371" spans="1:71" ht="12.7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</row>
    <row r="1372" spans="1:71" ht="12.7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</row>
    <row r="1373" spans="1:71" ht="12.7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</row>
    <row r="1374" spans="1:71" ht="12.7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</row>
    <row r="1375" spans="1:71" ht="12.7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</row>
    <row r="1376" spans="1:71" ht="12.7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</row>
    <row r="1377" spans="1:71" ht="12.7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</row>
    <row r="1378" spans="1:71" ht="12.7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</row>
    <row r="1379" spans="1:71" ht="12.7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</row>
    <row r="1380" spans="1:71" ht="12.7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</row>
    <row r="1381" spans="1:71" ht="12.7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</row>
    <row r="1382" spans="1:71" ht="12.7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</row>
    <row r="1383" spans="1:71" ht="12.7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</row>
    <row r="1384" spans="1:71" ht="12.7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</row>
    <row r="1385" spans="1:71" ht="12.7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</row>
    <row r="1386" spans="1:71" ht="12.7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</row>
    <row r="1387" spans="1:71" ht="12.7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</row>
    <row r="1388" spans="1:71" ht="12.7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</row>
    <row r="1389" spans="1:71" ht="12.7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</row>
    <row r="1390" spans="1:71" ht="12.7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</row>
    <row r="1391" spans="1:71" ht="12.7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</row>
    <row r="1392" spans="1:71" ht="12.7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</row>
    <row r="1393" spans="1:71" ht="12.7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</row>
    <row r="1394" spans="1:71" ht="12.7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</row>
    <row r="1395" spans="1:71" ht="12.7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</row>
    <row r="1396" spans="1:71" ht="12.7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</row>
    <row r="1397" spans="1:71" ht="12.7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</row>
    <row r="1398" spans="1:71" ht="12.7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</row>
    <row r="1399" spans="1:71" ht="12.7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</row>
    <row r="1400" spans="1:71" ht="12.7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</row>
    <row r="1401" spans="1:71" ht="12.7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</row>
    <row r="1402" spans="1:71" ht="12.7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</row>
    <row r="1403" spans="1:71" ht="12.7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</row>
    <row r="1404" spans="1:71" ht="12.7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</row>
    <row r="1405" spans="1:71" ht="12.7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</row>
    <row r="1406" spans="1:71" ht="12.7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</row>
    <row r="1407" spans="1:71" ht="12.7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</row>
    <row r="1408" spans="1:71" ht="12.7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</row>
    <row r="1409" spans="1:71" ht="12.7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</row>
    <row r="1410" spans="1:71" ht="12.7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</row>
    <row r="1411" spans="1:71" ht="12.7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</row>
    <row r="1412" spans="1:71" ht="12.7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</row>
    <row r="1413" spans="1:71" ht="12.7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</row>
    <row r="1414" spans="1:71" ht="12.7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</row>
    <row r="1415" spans="1:71" ht="12.7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</row>
    <row r="1416" spans="1:71" ht="12.7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</row>
    <row r="1417" spans="1:71" ht="12.7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</row>
    <row r="1418" spans="1:71" ht="12.7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</row>
    <row r="1419" spans="1:71" ht="12.7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</row>
    <row r="1420" spans="1:71" ht="12.7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</row>
    <row r="1421" spans="1:71" ht="12.7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</row>
    <row r="1422" spans="1:71" ht="12.7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</row>
    <row r="1423" spans="1:71" ht="12.7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</row>
    <row r="1424" spans="1:71" ht="12.7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</row>
    <row r="1425" spans="1:71" ht="12.7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</row>
    <row r="1426" spans="1:71" ht="12.7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</row>
    <row r="1427" spans="1:71" ht="12.7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</row>
    <row r="1428" spans="1:71" ht="12.7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</row>
    <row r="1429" spans="1:71" ht="12.7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</row>
    <row r="1430" spans="1:71" ht="12.7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</row>
    <row r="1431" spans="1:71" ht="12.7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</row>
    <row r="1432" spans="1:71" ht="12.7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</row>
    <row r="1433" spans="1:71" ht="12.7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</row>
    <row r="1434" spans="1:71" ht="12.7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</row>
    <row r="1435" spans="1:71" ht="12.7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</row>
    <row r="1436" spans="1:71" ht="12.7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</row>
    <row r="1437" spans="1:71" ht="12.7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</row>
    <row r="1438" spans="1:71" ht="12.7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</row>
    <row r="1439" spans="1:71" ht="12.7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</row>
    <row r="1440" spans="1:71" ht="12.7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</row>
    <row r="1441" spans="1:71" ht="12.7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</row>
    <row r="1442" spans="1:71" ht="12.7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</row>
    <row r="1443" spans="1:71" ht="12.7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</row>
    <row r="1444" spans="1:71" ht="12.7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</row>
    <row r="1445" spans="1:71" ht="12.7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</row>
    <row r="1446" spans="1:71" ht="12.7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</row>
    <row r="1447" spans="1:71" ht="12.7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</row>
    <row r="1448" spans="1:71" ht="12.7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</row>
    <row r="1449" spans="1:71" ht="12.7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</row>
    <row r="1450" spans="1:71" ht="12.7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</row>
    <row r="1451" spans="1:71" ht="12.7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</row>
    <row r="1452" spans="1:71" ht="12.7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</row>
    <row r="1453" spans="1:71" ht="12.7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</row>
    <row r="1454" spans="1:71" ht="12.7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</row>
    <row r="1455" spans="1:71" ht="12.7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</row>
    <row r="1456" spans="1:71" ht="12.7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</row>
    <row r="1457" spans="1:71" ht="12.7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</row>
    <row r="1458" spans="1:71" ht="12.7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</row>
    <row r="1459" spans="1:71" ht="12.7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</row>
    <row r="1460" spans="1:71" ht="12.7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</row>
    <row r="1461" spans="1:71" ht="12.7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</row>
    <row r="1462" spans="1:71" ht="12.7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</row>
    <row r="1463" spans="1:71" ht="12.7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</row>
    <row r="1464" spans="1:71" ht="12.7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</row>
    <row r="1465" spans="1:71" ht="12.7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</row>
    <row r="1466" spans="1:71" ht="12.7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</row>
    <row r="1467" spans="1:71" ht="12.7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</row>
    <row r="1468" spans="1:71" ht="12.7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</row>
    <row r="1469" spans="1:71" ht="12.7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</row>
    <row r="1470" spans="1:71" ht="12.7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</row>
    <row r="1471" spans="1:71" ht="12.7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</row>
    <row r="1472" spans="1:71" ht="12.7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</row>
    <row r="1473" spans="1:71" ht="12.7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</row>
    <row r="1474" spans="1:71" ht="12.7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</row>
    <row r="1475" spans="1:71" ht="12.7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</row>
    <row r="1476" spans="1:71" ht="12.7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</row>
    <row r="1477" spans="1:71" ht="12.7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</row>
    <row r="1478" spans="1:71" ht="12.7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</row>
    <row r="1479" spans="1:71" ht="12.7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</row>
    <row r="1480" spans="1:71" ht="12.7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</row>
    <row r="1481" spans="1:71" ht="12.7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</row>
    <row r="1482" spans="1:71" ht="12.7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</row>
    <row r="1483" spans="1:71" ht="12.7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</row>
    <row r="1484" spans="1:71" ht="12.7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</row>
    <row r="1485" spans="1:71" ht="12.7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</row>
    <row r="1486" spans="1:71" ht="12.7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</row>
    <row r="1487" spans="1:71" ht="12.7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</row>
    <row r="1488" spans="1:71" ht="12.7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</row>
    <row r="1489" spans="1:71" ht="12.7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</row>
    <row r="1490" spans="1:71" ht="12.7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</row>
    <row r="1491" spans="1:71" ht="12.7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</row>
    <row r="1492" spans="1:71" ht="12.7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</row>
    <row r="1493" spans="1:71" ht="12.7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</row>
    <row r="1494" spans="1:71" ht="12.7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</row>
    <row r="1495" spans="1:71" ht="12.7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</row>
    <row r="1496" spans="1:71" ht="12.7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</row>
    <row r="1497" spans="1:71" ht="12.7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</row>
    <row r="1498" spans="1:71" ht="12.7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</row>
    <row r="1499" spans="1:71" ht="12.7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</row>
    <row r="1500" spans="1:71" ht="12.7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</row>
    <row r="1501" spans="1:71" ht="12.7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</row>
    <row r="1502" spans="1:71" ht="12.7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</row>
    <row r="1503" spans="1:71" ht="12.7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</row>
    <row r="1504" spans="1:71" ht="12.7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</row>
    <row r="1505" spans="1:71" ht="12.7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</row>
    <row r="1506" spans="1:71" ht="12.7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</row>
    <row r="1507" spans="1:71" ht="12.7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</row>
    <row r="1508" spans="1:71" ht="12.7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</row>
    <row r="1509" spans="1:71" ht="12.7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</row>
    <row r="1510" spans="1:71" ht="12.7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</row>
    <row r="1511" spans="1:71" ht="12.7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</row>
    <row r="1512" spans="1:71" ht="12.7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</row>
    <row r="1513" spans="1:71" ht="12.7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</row>
    <row r="1514" spans="1:71" ht="12.7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</row>
    <row r="1515" spans="1:71" ht="12.7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</row>
    <row r="1516" spans="1:71" ht="12.7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</row>
    <row r="1517" spans="1:71" ht="12.7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</row>
    <row r="1518" spans="1:71" ht="12.7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</row>
    <row r="1519" spans="1:71" ht="12.7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</row>
    <row r="1520" spans="1:71" ht="12.7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</row>
    <row r="1521" spans="1:71" ht="12.7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</row>
    <row r="1522" spans="1:71" ht="12.7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</row>
    <row r="1523" spans="1:71" ht="12.7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</row>
    <row r="1524" spans="1:71" ht="12.7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</row>
    <row r="1525" spans="1:71" ht="12.7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</row>
    <row r="1526" spans="1:71" ht="12.7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</row>
    <row r="1527" spans="1:71" ht="12.7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</row>
    <row r="1528" spans="1:71" ht="12.7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</row>
    <row r="1529" spans="1:71" ht="12.7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</row>
    <row r="1530" spans="1:71" ht="12.7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</row>
    <row r="1531" spans="1:71" ht="12.7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</row>
    <row r="1532" spans="1:71" ht="12.7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</row>
    <row r="1533" spans="1:71" ht="12.7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</row>
    <row r="1534" spans="1:71" ht="12.7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</row>
    <row r="1535" spans="1:71" ht="12.7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</row>
    <row r="1536" spans="1:71" ht="12.7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</row>
    <row r="1537" spans="1:71" ht="12.7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</row>
    <row r="1538" spans="1:71" ht="12.7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</row>
    <row r="1539" spans="1:71" ht="12.7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</row>
    <row r="1540" spans="1:71" ht="12.7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</row>
    <row r="1541" spans="1:71" ht="12.7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</row>
    <row r="1542" spans="1:71" ht="12.7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</row>
    <row r="1543" spans="1:71" ht="12.7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</row>
    <row r="1544" spans="1:71" ht="12.7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</row>
    <row r="1545" spans="1:71" ht="12.7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</row>
    <row r="1546" spans="1:71" ht="12.7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</row>
    <row r="1547" spans="1:71" ht="12.7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</row>
    <row r="1548" spans="1:71" ht="12.7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</row>
    <row r="1549" spans="1:71" ht="12.7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</row>
    <row r="1550" spans="1:71" ht="12.7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</row>
    <row r="1551" spans="1:71" ht="12.7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</row>
    <row r="1552" spans="1:71" ht="12.7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</row>
    <row r="1553" spans="1:71" ht="12.7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</row>
    <row r="1554" spans="1:71" ht="12.7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</row>
    <row r="1555" spans="1:71" ht="12.7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</row>
    <row r="1556" spans="1:71" ht="12.7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</row>
    <row r="1557" spans="1:71" ht="12.7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</row>
    <row r="1558" spans="1:71" ht="12.7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</row>
    <row r="1559" spans="1:71" ht="12.7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</row>
    <row r="1560" spans="1:71" ht="12.7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</row>
    <row r="1561" spans="1:71" ht="12.7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</row>
    <row r="1562" spans="1:71" ht="12.7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</row>
    <row r="1563" spans="1:71" ht="12.7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</row>
    <row r="1564" spans="1:71" ht="12.7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</row>
    <row r="1565" spans="1:71" ht="12.7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</row>
    <row r="1566" spans="1:71" ht="12.7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</row>
    <row r="1567" spans="1:71" ht="12.7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</row>
    <row r="1568" spans="1:71" ht="12.7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</row>
    <row r="1569" spans="1:71" ht="12.7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</row>
    <row r="1570" spans="1:71" ht="12.7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</row>
    <row r="1571" spans="1:71" ht="12.7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</row>
    <row r="1572" spans="1:71" ht="12.7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</row>
    <row r="1573" spans="1:71" ht="12.7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</row>
    <row r="1574" spans="1:71" ht="12.7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</row>
    <row r="1575" spans="1:71" ht="12.7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</row>
    <row r="1576" spans="1:71" ht="12.7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</row>
    <row r="1577" spans="1:71" ht="12.7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</row>
    <row r="1578" spans="1:71" ht="12.7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</row>
    <row r="1579" spans="1:71" ht="12.7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</row>
    <row r="1580" spans="1:71" ht="12.7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</row>
    <row r="1581" spans="1:71" ht="12.7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</row>
    <row r="1582" spans="1:71" ht="12.7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</row>
    <row r="1583" spans="1:71" ht="12.7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</row>
    <row r="1584" spans="1:71" ht="12.7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</row>
    <row r="1585" spans="1:71" ht="12.7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</row>
    <row r="1586" spans="1:71" ht="12.7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</row>
    <row r="1587" spans="1:71" ht="12.7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</row>
    <row r="1588" spans="1:71" ht="12.7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</row>
    <row r="1589" spans="1:71" ht="12.7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</row>
    <row r="1590" spans="1:71" ht="12.7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</row>
    <row r="1591" spans="1:71" ht="12.7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</row>
    <row r="1592" spans="1:71" ht="12.7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</row>
    <row r="1593" spans="1:71" ht="12.7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</row>
    <row r="1594" spans="1:71" ht="12.7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</row>
    <row r="1595" spans="1:71" ht="12.7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</row>
    <row r="1596" spans="1:71" ht="12.7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</row>
    <row r="1597" spans="1:71" ht="12.7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</row>
    <row r="1598" spans="1:71" ht="12.7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</row>
    <row r="1599" spans="1:71" ht="12.7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</row>
    <row r="1600" spans="1:71" ht="12.7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</row>
    <row r="1601" spans="1:71" ht="12.7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</row>
    <row r="1602" spans="1:71" ht="12.7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</row>
    <row r="1603" spans="1:71" ht="12.7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</row>
    <row r="1604" spans="1:71" ht="12.7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</row>
    <row r="1605" spans="1:71" ht="12.7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</row>
    <row r="1606" spans="1:71" ht="12.7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</row>
    <row r="1607" spans="1:71" ht="12.7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</row>
    <row r="1608" spans="1:71" ht="12.7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</row>
    <row r="1609" spans="1:71" ht="12.7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</row>
    <row r="1610" spans="1:71" ht="12.7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</row>
    <row r="1611" spans="1:71" ht="12.7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</row>
    <row r="1612" spans="1:71" ht="12.7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</row>
    <row r="1613" spans="1:71" ht="12.7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</row>
    <row r="1614" spans="1:71" ht="12.7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</row>
    <row r="1615" spans="1:71" ht="12.7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</row>
    <row r="1616" spans="1:71" ht="12.7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</row>
    <row r="1617" spans="1:71" ht="12.7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</row>
    <row r="1618" spans="1:71" ht="12.7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</row>
    <row r="1619" spans="1:71" ht="12.7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</row>
    <row r="1620" spans="1:71" ht="12.7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</row>
    <row r="1621" spans="1:71" ht="12.7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</row>
    <row r="1622" spans="1:71" ht="12.7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</row>
    <row r="1623" spans="1:71" ht="12.7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</row>
    <row r="1624" spans="1:71" ht="12.7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</row>
    <row r="1625" spans="1:71" ht="12.7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</row>
    <row r="1626" spans="1:71" ht="12.7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</row>
    <row r="1627" spans="1:71" ht="12.7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</row>
    <row r="1628" spans="1:71" ht="12.7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</row>
    <row r="1629" spans="1:71" ht="12.7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</row>
    <row r="1630" spans="1:71" ht="12.7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</row>
    <row r="1631" spans="1:71" ht="12.7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</row>
    <row r="1632" spans="1:71" ht="12.7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</row>
    <row r="1633" spans="1:71" ht="12.7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</row>
    <row r="1634" spans="1:71" ht="12.7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</row>
    <row r="1635" spans="1:71" ht="12.7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</row>
    <row r="1636" spans="1:71" ht="12.7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</row>
    <row r="1637" spans="1:71" ht="12.7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</row>
    <row r="1638" spans="1:71" ht="12.7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</row>
    <row r="1639" spans="1:71" ht="12.7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</row>
    <row r="1640" spans="1:71" ht="12.7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</row>
    <row r="1641" spans="1:71" ht="12.7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</row>
    <row r="1642" spans="1:71" ht="12.7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</row>
    <row r="1643" spans="1:71" ht="12.7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</row>
    <row r="1644" spans="1:71" ht="12.7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</row>
    <row r="1645" spans="1:71" ht="12.7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</row>
    <row r="1646" spans="1:71" ht="12.7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</row>
    <row r="1647" spans="1:71" ht="12.7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</row>
    <row r="1648" spans="1:71" ht="12.7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</row>
    <row r="1649" spans="1:71" ht="12.7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</row>
    <row r="1650" spans="1:71" ht="12.7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</row>
    <row r="1651" spans="1:71" ht="12.7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</row>
    <row r="1652" spans="1:71" ht="12.7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</row>
    <row r="1653" spans="1:71" ht="12.7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</row>
    <row r="1654" spans="1:71" ht="12.7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</row>
    <row r="1655" spans="1:71" ht="12.7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</row>
    <row r="1656" spans="1:71" ht="12.7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</row>
    <row r="1657" spans="1:71" ht="12.7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</row>
    <row r="1658" spans="1:71" ht="12.7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</row>
    <row r="1659" spans="1:71" ht="12.7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</row>
    <row r="1660" spans="1:71" ht="12.7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</row>
    <row r="1661" spans="1:71" ht="12.7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</row>
    <row r="1662" spans="1:71" ht="12.7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</row>
    <row r="1663" spans="1:71" ht="12.7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</row>
    <row r="1664" spans="1:71" ht="12.7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</row>
    <row r="1665" spans="1:71" ht="12.7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</row>
    <row r="1666" spans="1:71" ht="12.7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</row>
    <row r="1667" spans="1:71" ht="12.7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</row>
    <row r="1668" spans="1:71" ht="12.7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</row>
    <row r="1669" spans="1:71" ht="12.7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</row>
    <row r="1670" spans="1:71" ht="12.7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</row>
    <row r="1671" spans="1:71" ht="12.7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</row>
    <row r="1672" spans="1:71" ht="12.7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</row>
    <row r="1673" spans="1:71" ht="12.7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</row>
    <row r="1674" spans="1:71" ht="12.7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</row>
    <row r="1675" spans="1:71" ht="12.7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</row>
    <row r="1676" spans="1:71" ht="12.7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</row>
    <row r="1677" spans="1:71" ht="12.7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</row>
    <row r="1678" spans="1:71" ht="12.7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</row>
    <row r="1679" spans="1:71" ht="12.7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</row>
    <row r="1680" spans="1:71" ht="12.7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</row>
    <row r="1681" spans="1:71" ht="12.7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</row>
    <row r="1682" spans="1:71" ht="12.7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</row>
    <row r="1683" spans="1:71" ht="12.7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</row>
    <row r="1684" spans="1:71" ht="12.7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</row>
    <row r="1685" spans="1:71" ht="12.7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</row>
    <row r="1686" spans="1:71" ht="12.7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</row>
    <row r="1687" spans="1:71" ht="12.7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</row>
    <row r="1688" spans="1:71" ht="12.7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</row>
    <row r="1689" spans="1:71" ht="12.7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</row>
    <row r="1690" spans="1:71" ht="12.7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</row>
    <row r="1691" spans="1:71" ht="12.7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</row>
    <row r="1692" spans="1:71" ht="12.7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</row>
    <row r="1693" spans="1:71" ht="12.7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</row>
    <row r="1694" spans="1:71" ht="12.7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</row>
    <row r="1695" spans="1:71" ht="12.7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</row>
    <row r="1696" spans="1:71" ht="12.7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</row>
    <row r="1697" spans="1:71" ht="12.7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</row>
    <row r="1698" spans="1:71" ht="12.7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</row>
    <row r="1699" spans="1:71" ht="12.7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</row>
    <row r="1700" spans="1:71" ht="12.7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</row>
    <row r="1701" spans="1:71" ht="12.7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</row>
    <row r="1702" spans="1:71" ht="12.7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</row>
    <row r="1703" spans="1:71" ht="12.7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</row>
    <row r="1704" spans="1:71" ht="12.7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</row>
    <row r="1705" spans="1:71" ht="12.7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</row>
    <row r="1706" spans="1:71" ht="12.7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</row>
    <row r="1707" spans="1:71" ht="12.7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</row>
    <row r="1708" spans="1:71" ht="12.7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</row>
    <row r="1709" spans="1:71" ht="12.7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</row>
    <row r="1710" spans="1:71" ht="12.7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</row>
    <row r="1711" spans="1:71" ht="12.7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</row>
    <row r="1712" spans="1:71" ht="12.7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</row>
    <row r="1713" spans="1:71" ht="12.7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</row>
    <row r="1714" spans="1:71" ht="12.7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</row>
    <row r="1715" spans="1:71" ht="12.7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</row>
    <row r="1716" spans="1:71" ht="12.7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</row>
    <row r="1717" spans="1:71" ht="12.7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</row>
    <row r="1718" spans="1:71" ht="12.7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</row>
    <row r="1719" spans="1:71" ht="12.7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</row>
    <row r="1720" spans="1:71" ht="12.7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</row>
    <row r="1721" spans="1:71" ht="12.7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</row>
    <row r="1722" spans="1:71" ht="12.7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</row>
    <row r="1723" spans="1:71" ht="12.7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</row>
    <row r="1724" spans="1:71" ht="12.7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</row>
    <row r="1725" spans="1:71" ht="12.7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</row>
    <row r="1726" spans="1:71" ht="12.7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</row>
    <row r="1727" spans="1:71" ht="12.7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</row>
    <row r="1728" spans="1:71" ht="12.7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</row>
    <row r="1729" spans="1:71" ht="12.7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</row>
    <row r="1730" spans="1:71" ht="12.7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</row>
    <row r="1731" spans="1:71" ht="12.7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</row>
    <row r="1732" spans="1:71" ht="12.7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</row>
    <row r="1733" spans="1:71" ht="12.7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</row>
    <row r="1734" spans="1:71" ht="12.7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</row>
    <row r="1735" spans="1:71" ht="12.7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</row>
    <row r="1736" spans="1:71" ht="12.7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</row>
    <row r="1737" spans="1:71" ht="12.7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</row>
    <row r="1738" spans="1:71" ht="12.7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</row>
    <row r="1739" spans="1:71" ht="12.7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</row>
    <row r="1740" spans="1:71" ht="12.7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</row>
    <row r="1741" spans="1:71" ht="12.7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</row>
    <row r="1742" spans="1:71" ht="12.7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</row>
    <row r="1743" spans="1:71" ht="12.7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</row>
    <row r="1744" spans="1:71" ht="12.7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</row>
    <row r="1745" spans="1:71" ht="12.7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</row>
    <row r="1746" spans="1:71" ht="12.7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</row>
    <row r="1747" spans="1:71" ht="12.7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</row>
    <row r="1748" spans="1:71" ht="12.7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</row>
    <row r="1749" spans="1:71" ht="12.7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</row>
    <row r="1750" spans="1:71" ht="12.7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</row>
    <row r="1751" spans="1:71" ht="12.7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</row>
    <row r="1752" spans="1:71" ht="12.7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</row>
    <row r="1753" spans="1:71" ht="12.7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</row>
    <row r="1754" spans="1:71" ht="12.7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</row>
    <row r="1755" spans="1:71" ht="12.7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</row>
    <row r="1756" spans="1:71" ht="12.7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</row>
    <row r="1757" spans="1:71" ht="12.7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</row>
    <row r="1758" spans="1:71" ht="12.7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</row>
    <row r="1759" spans="1:71" ht="12.7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</row>
    <row r="1760" spans="1:71" ht="12.7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</row>
    <row r="1761" spans="1:71" ht="12.7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</row>
    <row r="1762" spans="1:71" ht="12.7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</row>
    <row r="1763" spans="1:71" ht="12.7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</row>
    <row r="1764" spans="1:71" ht="12.7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</row>
    <row r="1765" spans="1:71" ht="12.7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</row>
    <row r="1766" spans="1:71" ht="12.7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</row>
    <row r="1767" spans="1:71" ht="12.7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</row>
    <row r="1768" spans="1:71" ht="12.7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</row>
    <row r="1769" spans="1:71" ht="12.7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</row>
    <row r="1770" spans="1:71" ht="12.7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</row>
    <row r="1771" spans="1:71" ht="12.7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</row>
    <row r="1772" spans="1:71" ht="12.7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</row>
    <row r="1773" spans="1:71" ht="12.7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</row>
    <row r="1774" spans="1:71" ht="12.7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</row>
    <row r="1775" spans="1:71" ht="12.7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</row>
    <row r="1776" spans="1:71" ht="12.7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</row>
    <row r="1777" spans="1:71" ht="12.7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</row>
    <row r="1778" spans="1:71" ht="12.7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</row>
    <row r="1779" spans="1:71" ht="12.7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</row>
    <row r="1780" spans="1:71" ht="12.7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</row>
    <row r="1781" spans="1:71" ht="12.7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</row>
    <row r="1782" spans="1:71" ht="12.7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</row>
    <row r="1783" spans="1:71" ht="12.7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</row>
    <row r="1784" spans="1:71" ht="12.7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</row>
    <row r="1785" spans="1:71" ht="12.7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</row>
    <row r="1786" spans="1:71" ht="12.7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</row>
    <row r="1787" spans="1:71" ht="12.7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</row>
    <row r="1788" spans="1:71" ht="12.7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</row>
    <row r="1789" spans="1:71" ht="12.7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</row>
    <row r="1790" spans="1:71" ht="12.7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</row>
    <row r="1791" spans="1:71" ht="12.7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</row>
    <row r="1792" spans="1:71" ht="12.7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</row>
    <row r="1793" spans="1:71" ht="12.7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</row>
    <row r="1794" spans="1:71" ht="12.7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</row>
    <row r="1795" spans="1:71" ht="12.7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</row>
    <row r="1796" spans="1:71" ht="12.7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</row>
    <row r="1797" spans="1:71" ht="12.7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</row>
    <row r="1798" spans="1:71" ht="12.7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</row>
    <row r="1799" spans="1:71" ht="12.7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</row>
    <row r="1800" spans="1:71" ht="12.7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</row>
    <row r="1801" spans="1:71" ht="12.7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</row>
    <row r="1802" spans="1:71" ht="12.7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</row>
    <row r="1803" spans="1:71" ht="12.7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</row>
    <row r="1804" spans="1:71" ht="12.7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</row>
    <row r="1805" spans="1:71" ht="12.7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</row>
    <row r="1806" spans="1:71" ht="12.7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</row>
    <row r="1807" spans="1:71" ht="12.7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</row>
    <row r="1808" spans="1:71" ht="12.7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</row>
    <row r="1809" spans="1:71" ht="12.7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</row>
    <row r="1810" spans="1:71" ht="12.7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</row>
    <row r="1811" spans="1:71" ht="12.7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</row>
    <row r="1812" spans="1:71" ht="12.7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</row>
    <row r="1813" spans="1:71" ht="12.7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</row>
    <row r="1814" spans="1:71" ht="12.7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</row>
    <row r="1815" spans="1:71" ht="12.7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</row>
    <row r="1816" spans="1:71" ht="12.7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</row>
    <row r="1817" spans="1:71" ht="12.7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</row>
    <row r="1818" spans="1:71" ht="12.7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</row>
    <row r="1819" spans="1:71" ht="12.7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</row>
    <row r="1820" spans="1:71" ht="12.7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</row>
    <row r="1821" spans="1:71" ht="12.7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</row>
    <row r="1822" spans="1:71" ht="12.7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</row>
    <row r="1823" spans="1:71" ht="12.7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</row>
    <row r="1824" spans="1:71" ht="12.7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</row>
    <row r="1825" spans="1:71" ht="12.7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</row>
    <row r="1826" spans="1:71" ht="12.7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</row>
    <row r="1827" spans="1:71" ht="12.7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</row>
    <row r="1828" spans="1:71" ht="12.7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</row>
    <row r="1829" spans="1:71" ht="12.7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</row>
    <row r="1830" spans="1:71" ht="12.7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</row>
    <row r="1831" spans="1:71" ht="12.7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</row>
    <row r="1832" spans="1:71" ht="12.7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</row>
    <row r="1833" spans="1:71" ht="12.7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</row>
    <row r="1834" spans="1:71" ht="12.7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</row>
    <row r="1835" spans="1:71" ht="12.7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</row>
    <row r="1836" spans="1:71" ht="12.7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</row>
    <row r="1837" spans="1:71" ht="12.7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</row>
    <row r="1838" spans="1:71" ht="12.7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</row>
    <row r="1839" spans="1:71" ht="12.7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</row>
    <row r="1840" spans="1:71" ht="12.7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</row>
    <row r="1841" spans="1:71" ht="12.7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</row>
    <row r="1842" spans="1:71" ht="12.7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</row>
    <row r="1843" spans="1:71" ht="12.7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</row>
    <row r="1844" spans="1:71" ht="12.7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</row>
    <row r="1845" spans="1:71" ht="12.7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</row>
    <row r="1846" spans="1:71" ht="12.7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</row>
    <row r="1847" spans="1:71" ht="12.7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</row>
    <row r="1848" spans="1:71" ht="12.7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</row>
    <row r="1849" spans="1:71" ht="12.7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</row>
    <row r="1850" spans="1:71" ht="12.7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</row>
    <row r="1851" spans="1:71" ht="12.7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</row>
    <row r="1852" spans="1:71" ht="12.7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</row>
    <row r="1853" spans="1:71" ht="12.7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</row>
    <row r="1854" spans="1:71" ht="12.7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</row>
    <row r="1855" spans="1:71" ht="12.7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</row>
    <row r="1856" spans="1:71" ht="12.7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</row>
    <row r="1857" spans="1:71" ht="12.7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</row>
    <row r="1858" spans="1:71" ht="12.7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</row>
    <row r="1859" spans="1:71" ht="12.7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</row>
    <row r="1860" spans="1:71" ht="12.7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</row>
    <row r="1861" spans="1:71" ht="12.7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</row>
    <row r="1862" spans="1:71" ht="12.7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</row>
    <row r="1863" spans="1:71" ht="12.7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</row>
    <row r="1864" spans="1:71" ht="12.7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</row>
    <row r="1865" spans="1:71" ht="12.7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</row>
    <row r="1866" spans="1:71" ht="12.7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</row>
    <row r="1867" spans="1:71" ht="12.7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</row>
    <row r="1868" spans="1:71" ht="12.7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</row>
    <row r="1869" spans="1:71" ht="12.7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</row>
    <row r="1870" spans="1:71" ht="12.7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</row>
    <row r="1871" spans="1:71" ht="12.7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</row>
    <row r="1872" spans="1:71" ht="12.7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</row>
    <row r="1873" spans="1:71" ht="12.7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</row>
    <row r="1874" spans="1:71" ht="12.7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</row>
    <row r="1875" spans="1:71" ht="12.7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</row>
    <row r="1876" spans="1:71" ht="12.7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</row>
    <row r="1877" spans="1:71" ht="12.7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</row>
    <row r="1878" spans="1:71" ht="12.7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</row>
    <row r="1879" spans="1:71" ht="12.7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</row>
    <row r="1880" spans="1:71" ht="12.7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</row>
    <row r="1881" spans="1:71" ht="12.7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</row>
    <row r="1882" spans="1:71" ht="12.7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</row>
    <row r="1883" spans="1:71" ht="12.7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</row>
    <row r="1884" spans="1:71" ht="12.7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</row>
    <row r="1885" spans="1:71" ht="12.7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</row>
    <row r="1886" spans="1:71" ht="12.7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</row>
    <row r="1887" spans="1:71" ht="12.7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</row>
    <row r="1888" spans="1:71" ht="12.7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</row>
    <row r="1889" spans="1:71" ht="12.7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</row>
    <row r="1890" spans="1:71" ht="12.7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</row>
    <row r="1891" spans="1:71" ht="12.7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</row>
    <row r="1892" spans="1:71" ht="12.7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</row>
    <row r="1893" spans="1:71" ht="12.7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</row>
    <row r="1894" spans="1:71" ht="12.7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</row>
    <row r="1895" spans="1:71" ht="12.7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</row>
    <row r="1896" spans="1:71" ht="12.7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</row>
    <row r="1897" spans="1:71" ht="12.7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</row>
    <row r="1898" spans="1:71" ht="12.7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</row>
    <row r="1899" spans="1:71" ht="12.7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</row>
    <row r="1900" spans="1:71" ht="12.7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</row>
    <row r="1901" spans="1:71" ht="12.7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</row>
    <row r="1902" spans="1:71" ht="12.7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</row>
    <row r="1903" spans="1:71" ht="12.7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</row>
    <row r="1904" spans="1:71" ht="12.7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</row>
    <row r="1905" spans="1:71" ht="12.7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</row>
    <row r="1906" spans="1:71" ht="12.7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</row>
    <row r="1907" spans="1:71" ht="12.7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</row>
    <row r="1908" spans="1:71" ht="12.7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</row>
    <row r="1909" spans="1:71" ht="12.7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</row>
    <row r="1910" spans="1:71" ht="12.7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</row>
    <row r="1911" spans="1:71" ht="12.7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</row>
    <row r="1912" spans="1:71" ht="12.7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</row>
    <row r="1913" spans="1:71" ht="12.7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</row>
    <row r="1914" spans="1:71" ht="12.7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</row>
    <row r="1915" spans="1:71" ht="12.7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</row>
    <row r="1916" spans="1:71" ht="12.7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</row>
    <row r="1917" spans="1:71" ht="12.7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</row>
    <row r="1918" spans="1:71" ht="12.7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</row>
    <row r="1919" spans="1:71" ht="12.7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</row>
    <row r="1920" spans="1:71" ht="12.7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</row>
    <row r="1921" spans="1:71" ht="12.7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</row>
    <row r="1922" spans="1:71" ht="12.7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</row>
    <row r="1923" spans="1:71" ht="12.7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</row>
    <row r="1924" spans="1:71" ht="12.7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</row>
    <row r="1925" spans="1:71" ht="12.7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</row>
    <row r="1926" spans="1:71" ht="12.7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</row>
    <row r="1927" spans="1:71" ht="12.7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</row>
    <row r="1928" spans="1:71" ht="12.7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</row>
    <row r="1929" spans="1:71" ht="12.7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</row>
    <row r="1930" spans="1:71" ht="12.7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</row>
    <row r="1931" spans="1:71" ht="12.7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</row>
    <row r="1932" spans="1:71" ht="12.7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</row>
    <row r="1933" spans="1:71" ht="12.7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</row>
    <row r="1934" spans="1:71" ht="12.7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</row>
    <row r="1935" spans="1:71" ht="12.7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</row>
    <row r="1936" spans="1:71" ht="12.7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</row>
    <row r="1937" spans="1:71" ht="12.7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</row>
    <row r="1938" spans="1:71" ht="12.7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</row>
    <row r="1939" spans="1:71" ht="12.7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</row>
    <row r="1940" spans="1:71" ht="12.7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</row>
    <row r="1941" spans="1:71" ht="12.7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</row>
    <row r="1942" spans="1:71" ht="12.7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</row>
    <row r="1943" spans="1:71" ht="12.7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</row>
    <row r="1944" spans="1:71" ht="12.7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</row>
    <row r="1945" spans="1:71" ht="12.7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</row>
    <row r="1946" spans="1:71" ht="12.7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</row>
    <row r="1947" spans="1:71" ht="12.7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</row>
    <row r="1948" spans="1:71" ht="12.7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</row>
    <row r="1949" spans="1:71" ht="12.7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</row>
    <row r="1950" spans="1:71" ht="12.7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</row>
    <row r="1951" spans="1:71" ht="12.7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</row>
    <row r="1952" spans="1:71" ht="12.7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</row>
    <row r="1953" spans="1:71" ht="12.7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</row>
    <row r="1954" spans="1:71" ht="12.7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</row>
    <row r="1955" spans="1:71" ht="12.7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</row>
    <row r="1956" spans="1:71" ht="12.7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</row>
    <row r="1957" spans="1:71" ht="12.7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</row>
    <row r="1958" spans="1:71" ht="12.7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</row>
    <row r="1959" spans="1:71" ht="12.7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</row>
    <row r="1960" spans="1:71" ht="12.7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</row>
    <row r="1961" spans="1:71" ht="12.7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</row>
    <row r="1962" spans="1:71" ht="12.7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</row>
    <row r="1963" spans="1:71" ht="12.7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</row>
    <row r="1964" spans="1:71" ht="12.7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</row>
    <row r="1965" spans="1:71" ht="12.7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</row>
    <row r="1966" spans="1:71" ht="12.7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</row>
    <row r="1967" spans="1:71" ht="12.7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</row>
    <row r="1968" spans="1:71" ht="12.7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</row>
    <row r="1969" spans="1:71" ht="12.7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</row>
    <row r="1970" spans="1:71" ht="12.7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</row>
    <row r="1971" spans="1:71" ht="12.7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</row>
    <row r="1972" spans="1:71" ht="12.7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</row>
    <row r="1973" spans="1:71" ht="12.7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</row>
    <row r="1974" spans="1:71" ht="12.7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</row>
    <row r="1975" spans="1:71" ht="12.7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</row>
    <row r="1976" spans="1:71" ht="12.7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</row>
    <row r="1977" spans="1:71" ht="12.7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</row>
    <row r="1978" spans="1:71" ht="12.7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</row>
    <row r="1979" spans="1:71" ht="12.7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</row>
    <row r="1980" spans="1:71" ht="12.7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</row>
    <row r="1981" spans="1:71" ht="12.7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</row>
    <row r="1982" spans="1:71" ht="12.7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</row>
    <row r="1983" spans="1:71" ht="12.7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</row>
    <row r="1984" spans="1:71" ht="12.7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</row>
    <row r="1985" spans="1:71" ht="12.7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</row>
    <row r="1986" spans="1:71" ht="12.7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</row>
    <row r="1987" spans="1:71" ht="12.7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</row>
    <row r="1988" spans="1:71" ht="12.7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</row>
    <row r="1989" spans="1:71" ht="12.7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</row>
    <row r="1990" spans="1:71" ht="12.7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</row>
    <row r="1991" spans="1:71" ht="12.7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</row>
    <row r="1992" spans="1:71" ht="12.7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</row>
    <row r="1993" spans="1:71" ht="12.7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</row>
    <row r="1994" spans="1:71" ht="12.7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</row>
    <row r="1995" spans="1:71" ht="12.7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</row>
    <row r="1996" spans="1:71" ht="12.7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</row>
    <row r="1997" spans="1:71" ht="12.7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</row>
    <row r="1998" spans="1:71" ht="12.7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</row>
    <row r="1999" spans="1:71" ht="12.7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</row>
    <row r="2000" spans="1:71" ht="12.7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</row>
    <row r="2001" spans="1:71" ht="12.7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</row>
    <row r="2002" spans="1:71" ht="12.7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</row>
    <row r="2003" spans="1:71" ht="12.7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</row>
    <row r="2004" spans="1:71" ht="12.7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</row>
    <row r="2005" spans="1:71" ht="12.7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</row>
    <row r="2006" spans="1:71" ht="12.7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</row>
    <row r="2007" spans="1:71" ht="12.7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</row>
    <row r="2008" spans="1:71" ht="12.7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</row>
    <row r="2009" spans="1:71" ht="12.7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</row>
    <row r="2010" spans="1:71" ht="12.7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</row>
    <row r="2011" spans="1:71" ht="12.7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</row>
    <row r="2012" spans="1:71" ht="12.7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</row>
    <row r="2013" spans="1:71" ht="12.7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  <c r="BJ2013" s="7"/>
      <c r="BK2013" s="7"/>
      <c r="BL2013" s="7"/>
      <c r="BM2013" s="7"/>
      <c r="BN2013" s="7"/>
      <c r="BO2013" s="7"/>
      <c r="BP2013" s="7"/>
      <c r="BQ2013" s="7"/>
      <c r="BR2013" s="7"/>
      <c r="BS2013" s="7"/>
    </row>
    <row r="2014" spans="1:71" ht="12.7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</row>
    <row r="2015" spans="1:71" ht="12.7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S2015" s="7"/>
    </row>
    <row r="2016" spans="1:71" ht="12.7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</row>
    <row r="2017" spans="1:71" ht="12.7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S2017" s="7"/>
    </row>
    <row r="2018" spans="1:71" ht="12.7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</row>
    <row r="2019" spans="1:71" ht="12.7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S2019" s="7"/>
    </row>
    <row r="2020" spans="1:71" ht="12.7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S2020" s="7"/>
    </row>
    <row r="2021" spans="1:71" ht="12.7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  <c r="BJ2021" s="7"/>
      <c r="BK2021" s="7"/>
      <c r="BL2021" s="7"/>
      <c r="BM2021" s="7"/>
      <c r="BN2021" s="7"/>
      <c r="BO2021" s="7"/>
      <c r="BP2021" s="7"/>
      <c r="BQ2021" s="7"/>
      <c r="BR2021" s="7"/>
      <c r="BS2021" s="7"/>
    </row>
    <row r="2022" spans="1:71" ht="12.7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  <c r="BJ2022" s="7"/>
      <c r="BK2022" s="7"/>
      <c r="BL2022" s="7"/>
      <c r="BM2022" s="7"/>
      <c r="BN2022" s="7"/>
      <c r="BO2022" s="7"/>
      <c r="BP2022" s="7"/>
      <c r="BQ2022" s="7"/>
      <c r="BR2022" s="7"/>
      <c r="BS2022" s="7"/>
    </row>
    <row r="2023" spans="1:71" ht="12.7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  <c r="BJ2023" s="7"/>
      <c r="BK2023" s="7"/>
      <c r="BL2023" s="7"/>
      <c r="BM2023" s="7"/>
      <c r="BN2023" s="7"/>
      <c r="BO2023" s="7"/>
      <c r="BP2023" s="7"/>
      <c r="BQ2023" s="7"/>
      <c r="BR2023" s="7"/>
      <c r="BS2023" s="7"/>
    </row>
    <row r="2024" spans="1:71" ht="12.7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  <c r="BJ2024" s="7"/>
      <c r="BK2024" s="7"/>
      <c r="BL2024" s="7"/>
      <c r="BM2024" s="7"/>
      <c r="BN2024" s="7"/>
      <c r="BO2024" s="7"/>
      <c r="BP2024" s="7"/>
      <c r="BQ2024" s="7"/>
      <c r="BR2024" s="7"/>
      <c r="BS2024" s="7"/>
    </row>
    <row r="2025" spans="1:71" ht="12.7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  <c r="BJ2025" s="7"/>
      <c r="BK2025" s="7"/>
      <c r="BL2025" s="7"/>
      <c r="BM2025" s="7"/>
      <c r="BN2025" s="7"/>
      <c r="BO2025" s="7"/>
      <c r="BP2025" s="7"/>
      <c r="BQ2025" s="7"/>
      <c r="BR2025" s="7"/>
      <c r="BS2025" s="7"/>
    </row>
    <row r="2026" spans="1:71" ht="12.7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  <c r="BJ2026" s="7"/>
      <c r="BK2026" s="7"/>
      <c r="BL2026" s="7"/>
      <c r="BM2026" s="7"/>
      <c r="BN2026" s="7"/>
      <c r="BO2026" s="7"/>
      <c r="BP2026" s="7"/>
      <c r="BQ2026" s="7"/>
      <c r="BR2026" s="7"/>
      <c r="BS2026" s="7"/>
    </row>
    <row r="2027" spans="1:71" ht="12.7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  <c r="BJ2027" s="7"/>
      <c r="BK2027" s="7"/>
      <c r="BL2027" s="7"/>
      <c r="BM2027" s="7"/>
      <c r="BN2027" s="7"/>
      <c r="BO2027" s="7"/>
      <c r="BP2027" s="7"/>
      <c r="BQ2027" s="7"/>
      <c r="BR2027" s="7"/>
      <c r="BS2027" s="7"/>
    </row>
    <row r="2028" spans="1:71" ht="12.7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  <c r="BJ2028" s="7"/>
      <c r="BK2028" s="7"/>
      <c r="BL2028" s="7"/>
      <c r="BM2028" s="7"/>
      <c r="BN2028" s="7"/>
      <c r="BO2028" s="7"/>
      <c r="BP2028" s="7"/>
      <c r="BQ2028" s="7"/>
      <c r="BR2028" s="7"/>
      <c r="BS2028" s="7"/>
    </row>
    <row r="2029" spans="1:71" ht="12.7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  <c r="BJ2029" s="7"/>
      <c r="BK2029" s="7"/>
      <c r="BL2029" s="7"/>
      <c r="BM2029" s="7"/>
      <c r="BN2029" s="7"/>
      <c r="BO2029" s="7"/>
      <c r="BP2029" s="7"/>
      <c r="BQ2029" s="7"/>
      <c r="BR2029" s="7"/>
      <c r="BS2029" s="7"/>
    </row>
    <row r="2030" spans="1:71" ht="12.7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  <c r="BJ2030" s="7"/>
      <c r="BK2030" s="7"/>
      <c r="BL2030" s="7"/>
      <c r="BM2030" s="7"/>
      <c r="BN2030" s="7"/>
      <c r="BO2030" s="7"/>
      <c r="BP2030" s="7"/>
      <c r="BQ2030" s="7"/>
      <c r="BR2030" s="7"/>
      <c r="BS2030" s="7"/>
    </row>
    <row r="2031" spans="1:71" ht="12.7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  <c r="BJ2031" s="7"/>
      <c r="BK2031" s="7"/>
      <c r="BL2031" s="7"/>
      <c r="BM2031" s="7"/>
      <c r="BN2031" s="7"/>
      <c r="BO2031" s="7"/>
      <c r="BP2031" s="7"/>
      <c r="BQ2031" s="7"/>
      <c r="BR2031" s="7"/>
      <c r="BS2031" s="7"/>
    </row>
    <row r="2032" spans="1:71" ht="12.7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S2032" s="7"/>
    </row>
    <row r="2033" spans="1:71" ht="12.7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S2033" s="7"/>
    </row>
    <row r="2034" spans="1:71" ht="12.7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</row>
    <row r="2035" spans="1:71" ht="12.7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S2035" s="7"/>
    </row>
    <row r="2036" spans="1:71" ht="12.7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S2036" s="7"/>
    </row>
    <row r="2037" spans="1:71" ht="12.7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  <c r="BJ2037" s="7"/>
      <c r="BK2037" s="7"/>
      <c r="BL2037" s="7"/>
      <c r="BM2037" s="7"/>
      <c r="BN2037" s="7"/>
      <c r="BO2037" s="7"/>
      <c r="BP2037" s="7"/>
      <c r="BQ2037" s="7"/>
      <c r="BR2037" s="7"/>
      <c r="BS2037" s="7"/>
    </row>
    <row r="2038" spans="1:71" ht="12.7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S2038" s="7"/>
    </row>
    <row r="2039" spans="1:71" ht="12.7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S2039" s="7"/>
    </row>
    <row r="2040" spans="1:71" ht="12.7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S2040" s="7"/>
    </row>
    <row r="2041" spans="1:71" ht="12.7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S2041" s="7"/>
    </row>
    <row r="2042" spans="1:71" ht="12.7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  <c r="BJ2042" s="7"/>
      <c r="BK2042" s="7"/>
      <c r="BL2042" s="7"/>
      <c r="BM2042" s="7"/>
      <c r="BN2042" s="7"/>
      <c r="BO2042" s="7"/>
      <c r="BP2042" s="7"/>
      <c r="BQ2042" s="7"/>
      <c r="BR2042" s="7"/>
      <c r="BS2042" s="7"/>
    </row>
    <row r="2043" spans="1:71" ht="12.7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  <c r="BJ2043" s="7"/>
      <c r="BK2043" s="7"/>
      <c r="BL2043" s="7"/>
      <c r="BM2043" s="7"/>
      <c r="BN2043" s="7"/>
      <c r="BO2043" s="7"/>
      <c r="BP2043" s="7"/>
      <c r="BQ2043" s="7"/>
      <c r="BR2043" s="7"/>
      <c r="BS2043" s="7"/>
    </row>
    <row r="2044" spans="1:71" ht="12.7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  <c r="BJ2044" s="7"/>
      <c r="BK2044" s="7"/>
      <c r="BL2044" s="7"/>
      <c r="BM2044" s="7"/>
      <c r="BN2044" s="7"/>
      <c r="BO2044" s="7"/>
      <c r="BP2044" s="7"/>
      <c r="BQ2044" s="7"/>
      <c r="BR2044" s="7"/>
      <c r="BS2044" s="7"/>
    </row>
    <row r="2045" spans="1:71" ht="12.7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  <c r="BJ2045" s="7"/>
      <c r="BK2045" s="7"/>
      <c r="BL2045" s="7"/>
      <c r="BM2045" s="7"/>
      <c r="BN2045" s="7"/>
      <c r="BO2045" s="7"/>
      <c r="BP2045" s="7"/>
      <c r="BQ2045" s="7"/>
      <c r="BR2045" s="7"/>
      <c r="BS2045" s="7"/>
    </row>
    <row r="2046" spans="1:71" ht="12.7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  <c r="BJ2046" s="7"/>
      <c r="BK2046" s="7"/>
      <c r="BL2046" s="7"/>
      <c r="BM2046" s="7"/>
      <c r="BN2046" s="7"/>
      <c r="BO2046" s="7"/>
      <c r="BP2046" s="7"/>
      <c r="BQ2046" s="7"/>
      <c r="BR2046" s="7"/>
      <c r="BS2046" s="7"/>
    </row>
    <row r="2047" spans="1:71" ht="12.7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  <c r="BJ2047" s="7"/>
      <c r="BK2047" s="7"/>
      <c r="BL2047" s="7"/>
      <c r="BM2047" s="7"/>
      <c r="BN2047" s="7"/>
      <c r="BO2047" s="7"/>
      <c r="BP2047" s="7"/>
      <c r="BQ2047" s="7"/>
      <c r="BR2047" s="7"/>
      <c r="BS2047" s="7"/>
    </row>
    <row r="2048" spans="1:71" ht="12.7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S2048" s="7"/>
    </row>
    <row r="2049" spans="1:71" ht="12.7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  <c r="BJ2049" s="7"/>
      <c r="BK2049" s="7"/>
      <c r="BL2049" s="7"/>
      <c r="BM2049" s="7"/>
      <c r="BN2049" s="7"/>
      <c r="BO2049" s="7"/>
      <c r="BP2049" s="7"/>
      <c r="BQ2049" s="7"/>
      <c r="BR2049" s="7"/>
      <c r="BS2049" s="7"/>
    </row>
    <row r="2050" spans="1:71" ht="12.7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</row>
    <row r="2051" spans="1:71" ht="12.7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</row>
    <row r="2052" spans="1:71" ht="12.7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S2052" s="7"/>
    </row>
    <row r="2053" spans="1:71" ht="12.7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</row>
    <row r="2054" spans="1:71" ht="12.7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  <c r="BJ2054" s="7"/>
      <c r="BK2054" s="7"/>
      <c r="BL2054" s="7"/>
      <c r="BM2054" s="7"/>
      <c r="BN2054" s="7"/>
      <c r="BO2054" s="7"/>
      <c r="BP2054" s="7"/>
      <c r="BQ2054" s="7"/>
      <c r="BR2054" s="7"/>
      <c r="BS2054" s="7"/>
    </row>
    <row r="2055" spans="1:71" ht="12.7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  <c r="BJ2055" s="7"/>
      <c r="BK2055" s="7"/>
      <c r="BL2055" s="7"/>
      <c r="BM2055" s="7"/>
      <c r="BN2055" s="7"/>
      <c r="BO2055" s="7"/>
      <c r="BP2055" s="7"/>
      <c r="BQ2055" s="7"/>
      <c r="BR2055" s="7"/>
      <c r="BS2055" s="7"/>
    </row>
    <row r="2056" spans="1:71" ht="12.7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S2056" s="7"/>
    </row>
    <row r="2057" spans="1:71" ht="12.7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  <c r="BJ2057" s="7"/>
      <c r="BK2057" s="7"/>
      <c r="BL2057" s="7"/>
      <c r="BM2057" s="7"/>
      <c r="BN2057" s="7"/>
      <c r="BO2057" s="7"/>
      <c r="BP2057" s="7"/>
      <c r="BQ2057" s="7"/>
      <c r="BR2057" s="7"/>
      <c r="BS2057" s="7"/>
    </row>
    <row r="2058" spans="1:71" ht="12.7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S2058" s="7"/>
    </row>
    <row r="2059" spans="1:71" ht="12.7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  <c r="BJ2059" s="7"/>
      <c r="BK2059" s="7"/>
      <c r="BL2059" s="7"/>
      <c r="BM2059" s="7"/>
      <c r="BN2059" s="7"/>
      <c r="BO2059" s="7"/>
      <c r="BP2059" s="7"/>
      <c r="BQ2059" s="7"/>
      <c r="BR2059" s="7"/>
      <c r="BS2059" s="7"/>
    </row>
    <row r="2060" spans="1:71" ht="12.7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  <c r="BJ2060" s="7"/>
      <c r="BK2060" s="7"/>
      <c r="BL2060" s="7"/>
      <c r="BM2060" s="7"/>
      <c r="BN2060" s="7"/>
      <c r="BO2060" s="7"/>
      <c r="BP2060" s="7"/>
      <c r="BQ2060" s="7"/>
      <c r="BR2060" s="7"/>
      <c r="BS2060" s="7"/>
    </row>
    <row r="2061" spans="1:71" ht="12.7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S2061" s="7"/>
    </row>
    <row r="2062" spans="1:71" ht="12.7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  <c r="BJ2062" s="7"/>
      <c r="BK2062" s="7"/>
      <c r="BL2062" s="7"/>
      <c r="BM2062" s="7"/>
      <c r="BN2062" s="7"/>
      <c r="BO2062" s="7"/>
      <c r="BP2062" s="7"/>
      <c r="BQ2062" s="7"/>
      <c r="BR2062" s="7"/>
      <c r="BS2062" s="7"/>
    </row>
    <row r="2063" spans="1:71" ht="12.7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  <c r="BJ2063" s="7"/>
      <c r="BK2063" s="7"/>
      <c r="BL2063" s="7"/>
      <c r="BM2063" s="7"/>
      <c r="BN2063" s="7"/>
      <c r="BO2063" s="7"/>
      <c r="BP2063" s="7"/>
      <c r="BQ2063" s="7"/>
      <c r="BR2063" s="7"/>
      <c r="BS2063" s="7"/>
    </row>
    <row r="2064" spans="1:71" ht="12.7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  <c r="BJ2064" s="7"/>
      <c r="BK2064" s="7"/>
      <c r="BL2064" s="7"/>
      <c r="BM2064" s="7"/>
      <c r="BN2064" s="7"/>
      <c r="BO2064" s="7"/>
      <c r="BP2064" s="7"/>
      <c r="BQ2064" s="7"/>
      <c r="BR2064" s="7"/>
      <c r="BS2064" s="7"/>
    </row>
    <row r="2065" spans="1:71" ht="12.7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  <c r="BJ2065" s="7"/>
      <c r="BK2065" s="7"/>
      <c r="BL2065" s="7"/>
      <c r="BM2065" s="7"/>
      <c r="BN2065" s="7"/>
      <c r="BO2065" s="7"/>
      <c r="BP2065" s="7"/>
      <c r="BQ2065" s="7"/>
      <c r="BR2065" s="7"/>
      <c r="BS2065" s="7"/>
    </row>
    <row r="2066" spans="1:71" ht="12.7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  <c r="BJ2066" s="7"/>
      <c r="BK2066" s="7"/>
      <c r="BL2066" s="7"/>
      <c r="BM2066" s="7"/>
      <c r="BN2066" s="7"/>
      <c r="BO2066" s="7"/>
      <c r="BP2066" s="7"/>
      <c r="BQ2066" s="7"/>
      <c r="BR2066" s="7"/>
      <c r="BS2066" s="7"/>
    </row>
    <row r="2067" spans="1:71" ht="12.7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  <c r="BJ2067" s="7"/>
      <c r="BK2067" s="7"/>
      <c r="BL2067" s="7"/>
      <c r="BM2067" s="7"/>
      <c r="BN2067" s="7"/>
      <c r="BO2067" s="7"/>
      <c r="BP2067" s="7"/>
      <c r="BQ2067" s="7"/>
      <c r="BR2067" s="7"/>
      <c r="BS2067" s="7"/>
    </row>
    <row r="2068" spans="1:71" ht="12.7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  <c r="BJ2068" s="7"/>
      <c r="BK2068" s="7"/>
      <c r="BL2068" s="7"/>
      <c r="BM2068" s="7"/>
      <c r="BN2068" s="7"/>
      <c r="BO2068" s="7"/>
      <c r="BP2068" s="7"/>
      <c r="BQ2068" s="7"/>
      <c r="BR2068" s="7"/>
      <c r="BS2068" s="7"/>
    </row>
    <row r="2069" spans="1:71" ht="12.7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  <c r="BJ2069" s="7"/>
      <c r="BK2069" s="7"/>
      <c r="BL2069" s="7"/>
      <c r="BM2069" s="7"/>
      <c r="BN2069" s="7"/>
      <c r="BO2069" s="7"/>
      <c r="BP2069" s="7"/>
      <c r="BQ2069" s="7"/>
      <c r="BR2069" s="7"/>
      <c r="BS2069" s="7"/>
    </row>
    <row r="2070" spans="1:71" ht="12.7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  <c r="BJ2070" s="7"/>
      <c r="BK2070" s="7"/>
      <c r="BL2070" s="7"/>
      <c r="BM2070" s="7"/>
      <c r="BN2070" s="7"/>
      <c r="BO2070" s="7"/>
      <c r="BP2070" s="7"/>
      <c r="BQ2070" s="7"/>
      <c r="BR2070" s="7"/>
      <c r="BS2070" s="7"/>
    </row>
    <row r="2071" spans="1:71" ht="12.7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  <c r="BJ2071" s="7"/>
      <c r="BK2071" s="7"/>
      <c r="BL2071" s="7"/>
      <c r="BM2071" s="7"/>
      <c r="BN2071" s="7"/>
      <c r="BO2071" s="7"/>
      <c r="BP2071" s="7"/>
      <c r="BQ2071" s="7"/>
      <c r="BR2071" s="7"/>
      <c r="BS2071" s="7"/>
    </row>
    <row r="2072" spans="1:71" ht="12.7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  <c r="BJ2072" s="7"/>
      <c r="BK2072" s="7"/>
      <c r="BL2072" s="7"/>
      <c r="BM2072" s="7"/>
      <c r="BN2072" s="7"/>
      <c r="BO2072" s="7"/>
      <c r="BP2072" s="7"/>
      <c r="BQ2072" s="7"/>
      <c r="BR2072" s="7"/>
      <c r="BS2072" s="7"/>
    </row>
    <row r="2073" spans="1:71" ht="12.7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</row>
    <row r="2074" spans="1:71" ht="12.7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  <c r="BJ2074" s="7"/>
      <c r="BK2074" s="7"/>
      <c r="BL2074" s="7"/>
      <c r="BM2074" s="7"/>
      <c r="BN2074" s="7"/>
      <c r="BO2074" s="7"/>
      <c r="BP2074" s="7"/>
      <c r="BQ2074" s="7"/>
      <c r="BR2074" s="7"/>
      <c r="BS2074" s="7"/>
    </row>
    <row r="2075" spans="1:71" ht="12.7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S2075" s="7"/>
    </row>
    <row r="2076" spans="1:71" ht="12.7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S2076" s="7"/>
    </row>
    <row r="2077" spans="1:71" ht="12.7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</row>
    <row r="2078" spans="1:71" ht="12.7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  <c r="BJ2078" s="7"/>
      <c r="BK2078" s="7"/>
      <c r="BL2078" s="7"/>
      <c r="BM2078" s="7"/>
      <c r="BN2078" s="7"/>
      <c r="BO2078" s="7"/>
      <c r="BP2078" s="7"/>
      <c r="BQ2078" s="7"/>
      <c r="BR2078" s="7"/>
      <c r="BS2078" s="7"/>
    </row>
    <row r="2079" spans="1:71" ht="12.7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S2079" s="7"/>
    </row>
    <row r="2080" spans="1:71" ht="12.7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  <c r="BJ2080" s="7"/>
      <c r="BK2080" s="7"/>
      <c r="BL2080" s="7"/>
      <c r="BM2080" s="7"/>
      <c r="BN2080" s="7"/>
      <c r="BO2080" s="7"/>
      <c r="BP2080" s="7"/>
      <c r="BQ2080" s="7"/>
      <c r="BR2080" s="7"/>
      <c r="BS2080" s="7"/>
    </row>
    <row r="2081" spans="1:71" ht="12.7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S2081" s="7"/>
    </row>
    <row r="2082" spans="1:71" ht="12.7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  <c r="BJ2082" s="7"/>
      <c r="BK2082" s="7"/>
      <c r="BL2082" s="7"/>
      <c r="BM2082" s="7"/>
      <c r="BN2082" s="7"/>
      <c r="BO2082" s="7"/>
      <c r="BP2082" s="7"/>
      <c r="BQ2082" s="7"/>
      <c r="BR2082" s="7"/>
      <c r="BS2082" s="7"/>
    </row>
    <row r="2083" spans="1:71" ht="12.7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S2083" s="7"/>
    </row>
    <row r="2084" spans="1:71" ht="12.7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  <c r="BJ2084" s="7"/>
      <c r="BK2084" s="7"/>
      <c r="BL2084" s="7"/>
      <c r="BM2084" s="7"/>
      <c r="BN2084" s="7"/>
      <c r="BO2084" s="7"/>
      <c r="BP2084" s="7"/>
      <c r="BQ2084" s="7"/>
      <c r="BR2084" s="7"/>
      <c r="BS2084" s="7"/>
    </row>
    <row r="2085" spans="1:71" ht="12.7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S2085" s="7"/>
    </row>
    <row r="2086" spans="1:71" ht="12.7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  <c r="BJ2086" s="7"/>
      <c r="BK2086" s="7"/>
      <c r="BL2086" s="7"/>
      <c r="BM2086" s="7"/>
      <c r="BN2086" s="7"/>
      <c r="BO2086" s="7"/>
      <c r="BP2086" s="7"/>
      <c r="BQ2086" s="7"/>
      <c r="BR2086" s="7"/>
      <c r="BS2086" s="7"/>
    </row>
    <row r="2087" spans="1:71" ht="12.7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S2087" s="7"/>
    </row>
    <row r="2088" spans="1:71" ht="12.7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  <c r="BJ2088" s="7"/>
      <c r="BK2088" s="7"/>
      <c r="BL2088" s="7"/>
      <c r="BM2088" s="7"/>
      <c r="BN2088" s="7"/>
      <c r="BO2088" s="7"/>
      <c r="BP2088" s="7"/>
      <c r="BQ2088" s="7"/>
      <c r="BR2088" s="7"/>
      <c r="BS2088" s="7"/>
    </row>
    <row r="2089" spans="1:71" ht="12.7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S2089" s="7"/>
    </row>
    <row r="2090" spans="1:71" ht="12.7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  <c r="BJ2090" s="7"/>
      <c r="BK2090" s="7"/>
      <c r="BL2090" s="7"/>
      <c r="BM2090" s="7"/>
      <c r="BN2090" s="7"/>
      <c r="BO2090" s="7"/>
      <c r="BP2090" s="7"/>
      <c r="BQ2090" s="7"/>
      <c r="BR2090" s="7"/>
      <c r="BS2090" s="7"/>
    </row>
    <row r="2091" spans="1:71" ht="12.7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S2091" s="7"/>
    </row>
    <row r="2092" spans="1:71" ht="12.7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S2092" s="7"/>
    </row>
    <row r="2093" spans="1:71" ht="12.7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S2093" s="7"/>
    </row>
    <row r="2094" spans="1:71" ht="12.7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  <c r="BJ2094" s="7"/>
      <c r="BK2094" s="7"/>
      <c r="BL2094" s="7"/>
      <c r="BM2094" s="7"/>
      <c r="BN2094" s="7"/>
      <c r="BO2094" s="7"/>
      <c r="BP2094" s="7"/>
      <c r="BQ2094" s="7"/>
      <c r="BR2094" s="7"/>
      <c r="BS2094" s="7"/>
    </row>
    <row r="2095" spans="1:71" ht="12.7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</row>
    <row r="2096" spans="1:71" ht="12.7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  <c r="BJ2096" s="7"/>
      <c r="BK2096" s="7"/>
      <c r="BL2096" s="7"/>
      <c r="BM2096" s="7"/>
      <c r="BN2096" s="7"/>
      <c r="BO2096" s="7"/>
      <c r="BP2096" s="7"/>
      <c r="BQ2096" s="7"/>
      <c r="BR2096" s="7"/>
      <c r="BS2096" s="7"/>
    </row>
    <row r="2097" spans="1:71" ht="12.7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S2097" s="7"/>
    </row>
    <row r="2098" spans="1:71" ht="12.7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  <c r="BJ2098" s="7"/>
      <c r="BK2098" s="7"/>
      <c r="BL2098" s="7"/>
      <c r="BM2098" s="7"/>
      <c r="BN2098" s="7"/>
      <c r="BO2098" s="7"/>
      <c r="BP2098" s="7"/>
      <c r="BQ2098" s="7"/>
      <c r="BR2098" s="7"/>
      <c r="BS2098" s="7"/>
    </row>
    <row r="2099" spans="1:71" ht="12.7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S2099" s="7"/>
    </row>
    <row r="2100" spans="1:71" ht="12.7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  <c r="BM2100" s="7"/>
      <c r="BN2100" s="7"/>
      <c r="BO2100" s="7"/>
      <c r="BP2100" s="7"/>
      <c r="BQ2100" s="7"/>
      <c r="BR2100" s="7"/>
      <c r="BS2100" s="7"/>
    </row>
    <row r="2101" spans="1:71" ht="12.7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S2101" s="7"/>
    </row>
    <row r="2102" spans="1:71" ht="12.7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  <c r="BM2102" s="7"/>
      <c r="BN2102" s="7"/>
      <c r="BO2102" s="7"/>
      <c r="BP2102" s="7"/>
      <c r="BQ2102" s="7"/>
      <c r="BR2102" s="7"/>
      <c r="BS2102" s="7"/>
    </row>
    <row r="2103" spans="1:71" ht="12.7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</row>
    <row r="2104" spans="1:71" ht="12.7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S2104" s="7"/>
    </row>
    <row r="2105" spans="1:71" ht="12.7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</row>
    <row r="2106" spans="1:71" ht="12.7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S2106" s="7"/>
    </row>
    <row r="2107" spans="1:71" ht="12.7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</row>
    <row r="2108" spans="1:71" ht="12.7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S2108" s="7"/>
    </row>
    <row r="2109" spans="1:71" ht="12.7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</row>
    <row r="2110" spans="1:71" ht="12.7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  <c r="BJ2110" s="7"/>
      <c r="BK2110" s="7"/>
      <c r="BL2110" s="7"/>
      <c r="BM2110" s="7"/>
      <c r="BN2110" s="7"/>
      <c r="BO2110" s="7"/>
      <c r="BP2110" s="7"/>
      <c r="BQ2110" s="7"/>
      <c r="BR2110" s="7"/>
      <c r="BS2110" s="7"/>
    </row>
    <row r="2111" spans="1:71" ht="12.7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S2111" s="7"/>
    </row>
    <row r="2112" spans="1:71" ht="12.7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  <c r="BJ2112" s="7"/>
      <c r="BK2112" s="7"/>
      <c r="BL2112" s="7"/>
      <c r="BM2112" s="7"/>
      <c r="BN2112" s="7"/>
      <c r="BO2112" s="7"/>
      <c r="BP2112" s="7"/>
      <c r="BQ2112" s="7"/>
      <c r="BR2112" s="7"/>
      <c r="BS2112" s="7"/>
    </row>
    <row r="2113" spans="1:71" ht="12.7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S2113" s="7"/>
    </row>
    <row r="2114" spans="1:71" ht="12.7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  <c r="BJ2114" s="7"/>
      <c r="BK2114" s="7"/>
      <c r="BL2114" s="7"/>
      <c r="BM2114" s="7"/>
      <c r="BN2114" s="7"/>
      <c r="BO2114" s="7"/>
      <c r="BP2114" s="7"/>
      <c r="BQ2114" s="7"/>
      <c r="BR2114" s="7"/>
      <c r="BS2114" s="7"/>
    </row>
    <row r="2115" spans="1:71" ht="12.7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S2115" s="7"/>
    </row>
    <row r="2116" spans="1:71" ht="12.7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S2116" s="7"/>
    </row>
    <row r="2117" spans="1:71" ht="12.7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</row>
    <row r="2118" spans="1:71" ht="12.7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S2118" s="7"/>
    </row>
    <row r="2119" spans="1:71" ht="12.7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</row>
    <row r="2120" spans="1:71" ht="12.7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S2120" s="7"/>
    </row>
    <row r="2121" spans="1:71" ht="12.7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S2121" s="7"/>
    </row>
    <row r="2122" spans="1:71" ht="12.7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  <c r="BJ2122" s="7"/>
      <c r="BK2122" s="7"/>
      <c r="BL2122" s="7"/>
      <c r="BM2122" s="7"/>
      <c r="BN2122" s="7"/>
      <c r="BO2122" s="7"/>
      <c r="BP2122" s="7"/>
      <c r="BQ2122" s="7"/>
      <c r="BR2122" s="7"/>
      <c r="BS2122" s="7"/>
    </row>
    <row r="2123" spans="1:71" ht="12.7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S2123" s="7"/>
    </row>
    <row r="2124" spans="1:71" ht="12.7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S2124" s="7"/>
    </row>
    <row r="2125" spans="1:71" ht="12.7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</row>
    <row r="2126" spans="1:71" ht="12.7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S2126" s="7"/>
    </row>
    <row r="2127" spans="1:71" ht="12.7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S2127" s="7"/>
    </row>
    <row r="2128" spans="1:71" ht="12.7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  <c r="BJ2128" s="7"/>
      <c r="BK2128" s="7"/>
      <c r="BL2128" s="7"/>
      <c r="BM2128" s="7"/>
      <c r="BN2128" s="7"/>
      <c r="BO2128" s="7"/>
      <c r="BP2128" s="7"/>
      <c r="BQ2128" s="7"/>
      <c r="BR2128" s="7"/>
      <c r="BS2128" s="7"/>
    </row>
    <row r="2129" spans="1:71" ht="12.7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S2129" s="7"/>
    </row>
    <row r="2130" spans="1:71" ht="12.7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  <c r="BJ2130" s="7"/>
      <c r="BK2130" s="7"/>
      <c r="BL2130" s="7"/>
      <c r="BM2130" s="7"/>
      <c r="BN2130" s="7"/>
      <c r="BO2130" s="7"/>
      <c r="BP2130" s="7"/>
      <c r="BQ2130" s="7"/>
      <c r="BR2130" s="7"/>
      <c r="BS2130" s="7"/>
    </row>
    <row r="2131" spans="1:71" ht="12.7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S2131" s="7"/>
    </row>
    <row r="2132" spans="1:71" ht="12.7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  <c r="BJ2132" s="7"/>
      <c r="BK2132" s="7"/>
      <c r="BL2132" s="7"/>
      <c r="BM2132" s="7"/>
      <c r="BN2132" s="7"/>
      <c r="BO2132" s="7"/>
      <c r="BP2132" s="7"/>
      <c r="BQ2132" s="7"/>
      <c r="BR2132" s="7"/>
      <c r="BS2132" s="7"/>
    </row>
    <row r="2133" spans="1:71" ht="12.7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S2133" s="7"/>
    </row>
    <row r="2134" spans="1:71" ht="12.7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  <c r="BJ2134" s="7"/>
      <c r="BK2134" s="7"/>
      <c r="BL2134" s="7"/>
      <c r="BM2134" s="7"/>
      <c r="BN2134" s="7"/>
      <c r="BO2134" s="7"/>
      <c r="BP2134" s="7"/>
      <c r="BQ2134" s="7"/>
      <c r="BR2134" s="7"/>
      <c r="BS2134" s="7"/>
    </row>
    <row r="2135" spans="1:71" ht="12.7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S2135" s="7"/>
    </row>
    <row r="2136" spans="1:71" ht="12.7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  <c r="BJ2136" s="7"/>
      <c r="BK2136" s="7"/>
      <c r="BL2136" s="7"/>
      <c r="BM2136" s="7"/>
      <c r="BN2136" s="7"/>
      <c r="BO2136" s="7"/>
      <c r="BP2136" s="7"/>
      <c r="BQ2136" s="7"/>
      <c r="BR2136" s="7"/>
      <c r="BS2136" s="7"/>
    </row>
    <row r="2137" spans="1:71" ht="12.7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</row>
    <row r="2138" spans="1:71" ht="12.7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  <c r="BJ2138" s="7"/>
      <c r="BK2138" s="7"/>
      <c r="BL2138" s="7"/>
      <c r="BM2138" s="7"/>
      <c r="BN2138" s="7"/>
      <c r="BO2138" s="7"/>
      <c r="BP2138" s="7"/>
      <c r="BQ2138" s="7"/>
      <c r="BR2138" s="7"/>
      <c r="BS2138" s="7"/>
    </row>
    <row r="2139" spans="1:71" ht="12.7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S2139" s="7"/>
    </row>
    <row r="2140" spans="1:71" ht="12.7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  <c r="BJ2140" s="7"/>
      <c r="BK2140" s="7"/>
      <c r="BL2140" s="7"/>
      <c r="BM2140" s="7"/>
      <c r="BN2140" s="7"/>
      <c r="BO2140" s="7"/>
      <c r="BP2140" s="7"/>
      <c r="BQ2140" s="7"/>
      <c r="BR2140" s="7"/>
      <c r="BS2140" s="7"/>
    </row>
    <row r="2141" spans="1:71" ht="12.7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S2141" s="7"/>
    </row>
    <row r="2142" spans="1:71" ht="12.7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  <c r="BJ2142" s="7"/>
      <c r="BK2142" s="7"/>
      <c r="BL2142" s="7"/>
      <c r="BM2142" s="7"/>
      <c r="BN2142" s="7"/>
      <c r="BO2142" s="7"/>
      <c r="BP2142" s="7"/>
      <c r="BQ2142" s="7"/>
      <c r="BR2142" s="7"/>
      <c r="BS2142" s="7"/>
    </row>
    <row r="2143" spans="1:71" ht="12.7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S2143" s="7"/>
    </row>
    <row r="2144" spans="1:71" ht="12.7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  <c r="BJ2144" s="7"/>
      <c r="BK2144" s="7"/>
      <c r="BL2144" s="7"/>
      <c r="BM2144" s="7"/>
      <c r="BN2144" s="7"/>
      <c r="BO2144" s="7"/>
      <c r="BP2144" s="7"/>
      <c r="BQ2144" s="7"/>
      <c r="BR2144" s="7"/>
      <c r="BS2144" s="7"/>
    </row>
    <row r="2145" spans="1:71" ht="12.7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  <c r="BJ2145" s="7"/>
      <c r="BK2145" s="7"/>
      <c r="BL2145" s="7"/>
      <c r="BM2145" s="7"/>
      <c r="BN2145" s="7"/>
      <c r="BO2145" s="7"/>
      <c r="BP2145" s="7"/>
      <c r="BQ2145" s="7"/>
      <c r="BR2145" s="7"/>
      <c r="BS2145" s="7"/>
    </row>
    <row r="2146" spans="1:71" ht="12.7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  <c r="BJ2146" s="7"/>
      <c r="BK2146" s="7"/>
      <c r="BL2146" s="7"/>
      <c r="BM2146" s="7"/>
      <c r="BN2146" s="7"/>
      <c r="BO2146" s="7"/>
      <c r="BP2146" s="7"/>
      <c r="BQ2146" s="7"/>
      <c r="BR2146" s="7"/>
      <c r="BS2146" s="7"/>
    </row>
    <row r="2147" spans="1:71" ht="12.7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  <c r="BJ2147" s="7"/>
      <c r="BK2147" s="7"/>
      <c r="BL2147" s="7"/>
      <c r="BM2147" s="7"/>
      <c r="BN2147" s="7"/>
      <c r="BO2147" s="7"/>
      <c r="BP2147" s="7"/>
      <c r="BQ2147" s="7"/>
      <c r="BR2147" s="7"/>
      <c r="BS2147" s="7"/>
    </row>
    <row r="2148" spans="1:71" ht="12.7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  <c r="BJ2148" s="7"/>
      <c r="BK2148" s="7"/>
      <c r="BL2148" s="7"/>
      <c r="BM2148" s="7"/>
      <c r="BN2148" s="7"/>
      <c r="BO2148" s="7"/>
      <c r="BP2148" s="7"/>
      <c r="BQ2148" s="7"/>
      <c r="BR2148" s="7"/>
      <c r="BS2148" s="7"/>
    </row>
    <row r="2149" spans="1:71" ht="12.7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S2149" s="7"/>
    </row>
    <row r="2150" spans="1:71" ht="12.7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  <c r="BJ2150" s="7"/>
      <c r="BK2150" s="7"/>
      <c r="BL2150" s="7"/>
      <c r="BM2150" s="7"/>
      <c r="BN2150" s="7"/>
      <c r="BO2150" s="7"/>
      <c r="BP2150" s="7"/>
      <c r="BQ2150" s="7"/>
      <c r="BR2150" s="7"/>
      <c r="BS2150" s="7"/>
    </row>
    <row r="2151" spans="1:71" ht="12.7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S2151" s="7"/>
    </row>
    <row r="2152" spans="1:71" ht="12.7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  <c r="BJ2152" s="7"/>
      <c r="BK2152" s="7"/>
      <c r="BL2152" s="7"/>
      <c r="BM2152" s="7"/>
      <c r="BN2152" s="7"/>
      <c r="BO2152" s="7"/>
      <c r="BP2152" s="7"/>
      <c r="BQ2152" s="7"/>
      <c r="BR2152" s="7"/>
      <c r="BS2152" s="7"/>
    </row>
    <row r="2153" spans="1:71" ht="12.7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S2153" s="7"/>
    </row>
    <row r="2154" spans="1:71" ht="12.7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  <c r="BJ2154" s="7"/>
      <c r="BK2154" s="7"/>
      <c r="BL2154" s="7"/>
      <c r="BM2154" s="7"/>
      <c r="BN2154" s="7"/>
      <c r="BO2154" s="7"/>
      <c r="BP2154" s="7"/>
      <c r="BQ2154" s="7"/>
      <c r="BR2154" s="7"/>
      <c r="BS2154" s="7"/>
    </row>
    <row r="2155" spans="1:71" ht="12.7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S2155" s="7"/>
    </row>
    <row r="2156" spans="1:71" ht="12.7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  <c r="BJ2156" s="7"/>
      <c r="BK2156" s="7"/>
      <c r="BL2156" s="7"/>
      <c r="BM2156" s="7"/>
      <c r="BN2156" s="7"/>
      <c r="BO2156" s="7"/>
      <c r="BP2156" s="7"/>
      <c r="BQ2156" s="7"/>
      <c r="BR2156" s="7"/>
      <c r="BS2156" s="7"/>
    </row>
    <row r="2157" spans="1:71" ht="12.7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S2157" s="7"/>
    </row>
    <row r="2158" spans="1:71" ht="12.7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  <c r="BJ2158" s="7"/>
      <c r="BK2158" s="7"/>
      <c r="BL2158" s="7"/>
      <c r="BM2158" s="7"/>
      <c r="BN2158" s="7"/>
      <c r="BO2158" s="7"/>
      <c r="BP2158" s="7"/>
      <c r="BQ2158" s="7"/>
      <c r="BR2158" s="7"/>
      <c r="BS2158" s="7"/>
    </row>
    <row r="2159" spans="1:71" ht="12.7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S2159" s="7"/>
    </row>
    <row r="2160" spans="1:71" ht="12.7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  <c r="BJ2160" s="7"/>
      <c r="BK2160" s="7"/>
      <c r="BL2160" s="7"/>
      <c r="BM2160" s="7"/>
      <c r="BN2160" s="7"/>
      <c r="BO2160" s="7"/>
      <c r="BP2160" s="7"/>
      <c r="BQ2160" s="7"/>
      <c r="BR2160" s="7"/>
      <c r="BS2160" s="7"/>
    </row>
    <row r="2161" spans="1:71" ht="12.7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S2161" s="7"/>
    </row>
    <row r="2162" spans="1:71" ht="12.7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S2162" s="7"/>
    </row>
    <row r="2163" spans="1:71" ht="12.7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</row>
    <row r="2164" spans="1:71" ht="12.7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S2164" s="7"/>
    </row>
    <row r="2165" spans="1:71" ht="12.7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S2165" s="7"/>
    </row>
    <row r="2166" spans="1:71" ht="12.7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S2166" s="7"/>
    </row>
    <row r="2167" spans="1:71" ht="12.7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S2167" s="7"/>
    </row>
    <row r="2168" spans="1:71" ht="12.7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S2168" s="7"/>
    </row>
    <row r="2169" spans="1:71" ht="12.7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S2169" s="7"/>
    </row>
    <row r="2170" spans="1:71" ht="12.7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S2170" s="7"/>
    </row>
    <row r="2171" spans="1:71" ht="12.7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S2171" s="7"/>
    </row>
    <row r="2172" spans="1:71" ht="12.7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</row>
    <row r="2173" spans="1:71" ht="12.7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S2173" s="7"/>
    </row>
    <row r="2174" spans="1:71" ht="12.7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</row>
    <row r="2175" spans="1:71" ht="12.7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S2175" s="7"/>
    </row>
    <row r="2176" spans="1:71" ht="12.7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</row>
    <row r="2177" spans="1:71" ht="12.7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S2177" s="7"/>
    </row>
    <row r="2178" spans="1:71" ht="12.7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S2178" s="7"/>
    </row>
    <row r="2179" spans="1:71" ht="12.7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S2179" s="7"/>
    </row>
    <row r="2180" spans="1:71" ht="12.7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S2180" s="7"/>
    </row>
    <row r="2181" spans="1:71" ht="12.7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S2181" s="7"/>
    </row>
    <row r="2182" spans="1:71" ht="12.7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</row>
    <row r="2183" spans="1:71" ht="12.7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</row>
    <row r="2184" spans="1:71" ht="12.7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</row>
    <row r="2185" spans="1:71" ht="12.7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S2185" s="7"/>
    </row>
    <row r="2186" spans="1:71" ht="12.7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</row>
    <row r="2187" spans="1:71" ht="12.7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</row>
    <row r="2188" spans="1:71" ht="12.7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S2188" s="7"/>
    </row>
    <row r="2189" spans="1:71" ht="12.7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S2189" s="7"/>
    </row>
    <row r="2190" spans="1:71" ht="12.7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S2190" s="7"/>
    </row>
    <row r="2191" spans="1:71" ht="12.7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S2191" s="7"/>
    </row>
    <row r="2192" spans="1:71" ht="12.7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S2192" s="7"/>
    </row>
    <row r="2193" spans="1:71" ht="12.7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S2193" s="7"/>
    </row>
    <row r="2194" spans="1:71" ht="12.7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</row>
    <row r="2195" spans="1:71" ht="12.7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</row>
    <row r="2196" spans="1:71" ht="12.7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</row>
    <row r="2197" spans="1:71" ht="12.7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</row>
    <row r="2198" spans="1:71" ht="12.7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</row>
    <row r="2199" spans="1:71" ht="12.7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</row>
    <row r="2200" spans="1:71" ht="12.7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</row>
    <row r="2201" spans="1:71" ht="12.7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S2201" s="7"/>
    </row>
    <row r="2202" spans="1:71" ht="12.7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  <c r="BJ2202" s="7"/>
      <c r="BK2202" s="7"/>
      <c r="BL2202" s="7"/>
      <c r="BM2202" s="7"/>
      <c r="BN2202" s="7"/>
      <c r="BO2202" s="7"/>
      <c r="BP2202" s="7"/>
      <c r="BQ2202" s="7"/>
      <c r="BR2202" s="7"/>
      <c r="BS2202" s="7"/>
    </row>
  </sheetData>
  <sheetProtection password="C596" sheet="1" objects="1" scenarios="1"/>
  <printOptions horizontalCentered="1"/>
  <pageMargins left="0.25" right="0.25" top="1.5" bottom="0.75" header="0.5" footer="0.5"/>
  <pageSetup horizontalDpi="300" verticalDpi="300" orientation="landscape" r:id="rId3"/>
  <headerFooter alignWithMargins="0">
    <oddHeader>&amp;CLDEQ RECAP
WORKSHEET I1
GW 1 AND 2
(mg/l)</oddHeader>
    <oddFooter>&amp;CWI1 - &amp;P</oddFooter>
  </headerFooter>
  <rowBreaks count="1" manualBreakCount="1">
    <brk id="153" max="6553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299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.75"/>
  <cols>
    <col min="1" max="1" width="27.421875" style="37" customWidth="1"/>
    <col min="2" max="2" width="13.140625" style="37" bestFit="1" customWidth="1"/>
    <col min="3" max="3" width="11.8515625" style="37" customWidth="1"/>
    <col min="4" max="5" width="9.00390625" style="37" customWidth="1"/>
    <col min="6" max="6" width="8.421875" style="37" customWidth="1"/>
    <col min="7" max="7" width="9.00390625" style="37" customWidth="1"/>
    <col min="8" max="8" width="20.421875" style="37" customWidth="1"/>
    <col min="9" max="9" width="13.00390625" style="37" customWidth="1"/>
    <col min="10" max="16384" width="7.8515625" style="37" customWidth="1"/>
  </cols>
  <sheetData>
    <row r="1" spans="1:12" ht="12.75">
      <c r="A1" s="197" t="s">
        <v>462</v>
      </c>
      <c r="B1" s="123"/>
      <c r="C1" s="198" t="s">
        <v>254</v>
      </c>
      <c r="D1" s="201"/>
      <c r="E1" s="123"/>
      <c r="F1" s="123"/>
      <c r="G1" s="123"/>
      <c r="H1" s="123"/>
      <c r="I1" s="123"/>
      <c r="K1" s="7"/>
      <c r="L1" s="7"/>
    </row>
    <row r="2" spans="1:12" ht="12.75">
      <c r="A2" s="195" t="str">
        <f>Soilni!$A$2</f>
        <v>Revision Date: 08/04/2003</v>
      </c>
      <c r="B2" s="218" t="str">
        <f>Soilni!$B$2</f>
        <v>Run date:</v>
      </c>
      <c r="C2" s="219">
        <f>Soilni!$C$2</f>
        <v>37932</v>
      </c>
      <c r="D2" s="123"/>
      <c r="E2" s="196"/>
      <c r="F2" s="123"/>
      <c r="G2" s="123"/>
      <c r="H2" s="123"/>
      <c r="I2" s="123"/>
      <c r="K2" s="7"/>
      <c r="L2" s="7"/>
    </row>
    <row r="3" spans="1:12" ht="12.75">
      <c r="A3" s="123"/>
      <c r="B3" s="123"/>
      <c r="C3" s="123"/>
      <c r="D3" s="123"/>
      <c r="E3" s="123"/>
      <c r="F3" s="123"/>
      <c r="G3" s="123"/>
      <c r="H3" s="123"/>
      <c r="I3" s="123"/>
      <c r="K3" s="7"/>
      <c r="L3" s="7"/>
    </row>
    <row r="4" spans="1:12" ht="12.75">
      <c r="A4" s="201" t="s">
        <v>255</v>
      </c>
      <c r="B4" s="123"/>
      <c r="C4" s="123"/>
      <c r="D4" s="123"/>
      <c r="E4" s="123"/>
      <c r="F4" s="123"/>
      <c r="G4" s="220"/>
      <c r="H4" s="221"/>
      <c r="I4" s="123"/>
      <c r="K4" s="7"/>
      <c r="L4" s="7"/>
    </row>
    <row r="5" spans="1:12" ht="12.75">
      <c r="A5" s="201" t="s">
        <v>256</v>
      </c>
      <c r="B5" s="123"/>
      <c r="C5" s="123"/>
      <c r="D5" s="123"/>
      <c r="E5" s="123"/>
      <c r="F5" s="123"/>
      <c r="G5" s="220"/>
      <c r="H5" s="221"/>
      <c r="I5" s="123"/>
      <c r="K5" s="7"/>
      <c r="L5" s="7"/>
    </row>
    <row r="6" spans="1:12" ht="12.75">
      <c r="A6" s="123"/>
      <c r="B6" s="123"/>
      <c r="C6" s="123"/>
      <c r="D6" s="123"/>
      <c r="E6" s="123"/>
      <c r="F6" s="123"/>
      <c r="G6" s="123"/>
      <c r="H6" s="123"/>
      <c r="I6" s="123"/>
      <c r="K6" s="7"/>
      <c r="L6" s="7"/>
    </row>
    <row r="7" spans="1:12" ht="12.75">
      <c r="A7" s="222"/>
      <c r="B7" s="156" t="s">
        <v>238</v>
      </c>
      <c r="C7" s="156" t="s">
        <v>238</v>
      </c>
      <c r="D7" s="156"/>
      <c r="E7" s="156"/>
      <c r="F7" s="223"/>
      <c r="G7" s="224"/>
      <c r="H7" s="156" t="s">
        <v>257</v>
      </c>
      <c r="I7" s="177"/>
      <c r="J7" s="81"/>
      <c r="K7" s="7"/>
      <c r="L7" s="7"/>
    </row>
    <row r="8" spans="1:12" ht="12.75">
      <c r="A8" s="206"/>
      <c r="B8" s="207" t="s">
        <v>258</v>
      </c>
      <c r="C8" s="207" t="s">
        <v>240</v>
      </c>
      <c r="D8" s="207" t="s">
        <v>225</v>
      </c>
      <c r="E8" s="207" t="s">
        <v>241</v>
      </c>
      <c r="F8" s="208"/>
      <c r="G8" s="225"/>
      <c r="H8" s="207" t="s">
        <v>259</v>
      </c>
      <c r="I8" s="209"/>
      <c r="J8" s="91"/>
      <c r="K8" s="7"/>
      <c r="L8" s="7"/>
    </row>
    <row r="9" spans="1:248" ht="12.75">
      <c r="A9" s="206" t="str">
        <f>'SF&amp;RfD'!A1</f>
        <v>COMPOUND</v>
      </c>
      <c r="B9" s="208" t="s">
        <v>243</v>
      </c>
      <c r="C9" s="208" t="s">
        <v>243</v>
      </c>
      <c r="D9" s="207" t="s">
        <v>229</v>
      </c>
      <c r="E9" s="207" t="s">
        <v>244</v>
      </c>
      <c r="F9" s="207" t="s">
        <v>245</v>
      </c>
      <c r="G9" s="207" t="s">
        <v>246</v>
      </c>
      <c r="H9" s="208" t="s">
        <v>229</v>
      </c>
      <c r="I9" s="209"/>
      <c r="J9" s="81"/>
      <c r="K9" s="92"/>
      <c r="L9" s="92"/>
      <c r="IN9" s="49"/>
    </row>
    <row r="10" spans="1:248" ht="12.75">
      <c r="A10" s="169" t="str">
        <f>'SF&amp;RfD'!A3</f>
        <v>Acenaphthene</v>
      </c>
      <c r="B10" s="170"/>
      <c r="C10" s="171"/>
      <c r="D10" s="171"/>
      <c r="E10" s="171">
        <v>387</v>
      </c>
      <c r="F10" s="154" t="s">
        <v>83</v>
      </c>
      <c r="G10" s="154">
        <f>(THQ*'SF&amp;RfD'!G3*BWa)/(IRWndw+E10*IRF)</f>
        <v>0.5364669817345765</v>
      </c>
      <c r="H10" s="183">
        <f>IF(B10,B10,+MAX(C10,D10,(+MIN(F10,G10))))</f>
        <v>0.5364669817345765</v>
      </c>
      <c r="I10" s="214" t="str">
        <f>+IF(H10=B10,"(*1)LAC(NDW)",IF(H10=C10,"LAC(DW)",IF(H10=D10,"MCL",IF(H10=F10,"(*2)C",IF(H10=G10,"(*2)N","?")))))</f>
        <v>(*2)N</v>
      </c>
      <c r="J10" s="93"/>
      <c r="K10" s="92"/>
      <c r="L10" s="7"/>
      <c r="IN10" s="49"/>
    </row>
    <row r="11" spans="1:248" ht="12.75">
      <c r="A11" s="169" t="str">
        <f>'SF&amp;RfD'!A4</f>
        <v>Acenaphthylene</v>
      </c>
      <c r="B11" s="170"/>
      <c r="C11" s="171"/>
      <c r="D11" s="171"/>
      <c r="E11" s="171">
        <v>269</v>
      </c>
      <c r="F11" s="154" t="s">
        <v>83</v>
      </c>
      <c r="G11" s="154">
        <f>(THQ*'SF&amp;RfD'!G4*BWa)/(IRWndw+E11*IRF)</f>
        <v>0.7679648930334613</v>
      </c>
      <c r="H11" s="183">
        <f>IF(B11,B11,+MAX(C11,D11,(+MIN(F11,G11))))</f>
        <v>0.7679648930334613</v>
      </c>
      <c r="I11" s="214" t="str">
        <f>+IF(H11=B11,"(*1)LAC(NDW)",IF(H11=C11,"LAC(DW)",IF(H11=D11,"MCL",IF(H11=F11,"(*2)C",IF(H11=G11,"(*2)N","?")))))</f>
        <v>(*2)N</v>
      </c>
      <c r="J11" s="93"/>
      <c r="K11" s="92"/>
      <c r="L11" s="7"/>
      <c r="IN11" s="49"/>
    </row>
    <row r="12" spans="1:12" ht="12.75">
      <c r="A12" s="169" t="str">
        <f>'SF&amp;RfD'!A5</f>
        <v>Anthracene</v>
      </c>
      <c r="B12" s="170"/>
      <c r="C12" s="171"/>
      <c r="D12" s="171"/>
      <c r="E12" s="171">
        <v>9200</v>
      </c>
      <c r="F12" s="154" t="s">
        <v>83</v>
      </c>
      <c r="G12" s="154">
        <f>(THQ*'SF&amp;RfD'!G5*BWa)/(IRWndw+E12*IRF)</f>
        <v>0.11407525707674006</v>
      </c>
      <c r="H12" s="183">
        <f aca="true" t="shared" si="0" ref="H12:H19">IF(B12,B12,+MAX(C12,D12,(+MIN(F12,G12))))</f>
        <v>0.11407525707674006</v>
      </c>
      <c r="I12" s="214" t="str">
        <f aca="true" t="shared" si="1" ref="I12:I19">+IF(H12=B12,"(*1)LAC(NDW)",IF(H12=C12,"LAC(DW)",IF(H12=D12,"MCL",IF(H12=F12,"(*2)C",IF(H12=G12,"(*2)N","?")))))</f>
        <v>(*2)N</v>
      </c>
      <c r="J12" s="93"/>
      <c r="K12" s="7"/>
      <c r="L12" s="7"/>
    </row>
    <row r="13" spans="1:12" ht="12.75">
      <c r="A13" s="169" t="str">
        <f>'SF&amp;RfD'!A6</f>
        <v>Benzene</v>
      </c>
      <c r="B13" s="171">
        <v>0.0125</v>
      </c>
      <c r="C13" s="171">
        <v>0.0011</v>
      </c>
      <c r="D13" s="171">
        <v>0.005</v>
      </c>
      <c r="E13" s="170"/>
      <c r="F13" s="154"/>
      <c r="G13" s="154"/>
      <c r="H13" s="183">
        <f t="shared" si="0"/>
        <v>0.0125</v>
      </c>
      <c r="I13" s="214" t="str">
        <f t="shared" si="1"/>
        <v>(*1)LAC(NDW)</v>
      </c>
      <c r="J13" s="93"/>
      <c r="K13" s="7"/>
      <c r="L13" s="7"/>
    </row>
    <row r="14" spans="1:12" ht="12.75">
      <c r="A14" s="169" t="str">
        <f>'SF&amp;RfD'!A7</f>
        <v>Benz(a)anthracene</v>
      </c>
      <c r="B14" s="170"/>
      <c r="C14" s="171"/>
      <c r="D14" s="171"/>
      <c r="E14" s="171">
        <v>12600</v>
      </c>
      <c r="F14" s="154">
        <f>(TR*BWa)/('SF&amp;RfD'!C7*(IRWndw+E14*IRF))</f>
        <v>3.8038316213283446E-07</v>
      </c>
      <c r="G14" s="154" t="s">
        <v>83</v>
      </c>
      <c r="H14" s="183">
        <f t="shared" si="0"/>
        <v>3.8038316213283446E-07</v>
      </c>
      <c r="I14" s="214" t="str">
        <f t="shared" si="1"/>
        <v>(*2)C</v>
      </c>
      <c r="J14" s="93"/>
      <c r="K14" s="7"/>
      <c r="L14" s="7"/>
    </row>
    <row r="15" spans="1:12" ht="12.75">
      <c r="A15" s="169" t="str">
        <f>'SF&amp;RfD'!A8</f>
        <v>Benzo(a)pyrene</v>
      </c>
      <c r="B15" s="170"/>
      <c r="C15" s="171"/>
      <c r="D15" s="171">
        <v>0.0002</v>
      </c>
      <c r="E15" s="171">
        <v>82900</v>
      </c>
      <c r="F15" s="154">
        <f>(TR*BWa)/('SF&amp;RfD'!C8*(IRWndw+E15*IRF))</f>
        <v>5.783188415031045E-09</v>
      </c>
      <c r="G15" s="154" t="s">
        <v>83</v>
      </c>
      <c r="H15" s="183">
        <f t="shared" si="0"/>
        <v>0.0002</v>
      </c>
      <c r="I15" s="214" t="str">
        <f t="shared" si="1"/>
        <v>MCL</v>
      </c>
      <c r="J15" s="93"/>
      <c r="K15" s="7"/>
      <c r="L15" s="7"/>
    </row>
    <row r="16" spans="1:12" ht="12.75">
      <c r="A16" s="169" t="str">
        <f>'SF&amp;RfD'!A9</f>
        <v>Benzo(b)fluoranthene</v>
      </c>
      <c r="B16" s="170"/>
      <c r="C16" s="171"/>
      <c r="D16" s="171"/>
      <c r="E16" s="171">
        <v>30300</v>
      </c>
      <c r="F16" s="154">
        <f>(TR*BWa)/('SF&amp;RfD'!C9*(IRWndw+E16*IRF))</f>
        <v>1.5821176586096117E-07</v>
      </c>
      <c r="G16" s="154" t="s">
        <v>83</v>
      </c>
      <c r="H16" s="183">
        <f t="shared" si="0"/>
        <v>1.5821176586096117E-07</v>
      </c>
      <c r="I16" s="214" t="str">
        <f t="shared" si="1"/>
        <v>(*2)C</v>
      </c>
      <c r="J16" s="93"/>
      <c r="K16" s="7"/>
      <c r="L16" s="7"/>
    </row>
    <row r="17" spans="1:12" ht="12.75">
      <c r="A17" s="169" t="str">
        <f>'SF&amp;RfD'!A10</f>
        <v>Benzo(k)fluoranthene</v>
      </c>
      <c r="B17" s="170"/>
      <c r="C17" s="171"/>
      <c r="D17" s="171"/>
      <c r="E17" s="171">
        <v>30300</v>
      </c>
      <c r="F17" s="154">
        <f>(TR*BWa)/('SF&amp;RfD'!C10*(IRWndw+E17*IRF))</f>
        <v>1.5821176586096117E-06</v>
      </c>
      <c r="G17" s="154" t="s">
        <v>83</v>
      </c>
      <c r="H17" s="183">
        <f t="shared" si="0"/>
        <v>1.5821176586096117E-06</v>
      </c>
      <c r="I17" s="214" t="str">
        <f t="shared" si="1"/>
        <v>(*2)C</v>
      </c>
      <c r="J17" s="93"/>
      <c r="K17" s="7"/>
      <c r="L17" s="7"/>
    </row>
    <row r="18" spans="1:12" ht="12.75">
      <c r="A18" s="169" t="str">
        <f>'SF&amp;RfD'!A11</f>
        <v>Chrysene</v>
      </c>
      <c r="B18" s="170"/>
      <c r="C18" s="171"/>
      <c r="D18" s="171"/>
      <c r="E18" s="171">
        <v>12600</v>
      </c>
      <c r="F18" s="154">
        <f>(TR*BWa)/('SF&amp;RfD'!C11*(IRWndw+E18*IRF))</f>
        <v>3.803831621328345E-05</v>
      </c>
      <c r="G18" s="154" t="s">
        <v>83</v>
      </c>
      <c r="H18" s="183">
        <f t="shared" si="0"/>
        <v>3.803831621328345E-05</v>
      </c>
      <c r="I18" s="214" t="str">
        <f t="shared" si="1"/>
        <v>(*2)C</v>
      </c>
      <c r="J18" s="93"/>
      <c r="K18" s="7"/>
      <c r="L18" s="7"/>
    </row>
    <row r="19" spans="1:12" ht="12.75">
      <c r="A19" s="169" t="str">
        <f>'SF&amp;RfD'!A12</f>
        <v>Dibenz(a,h)anthracene</v>
      </c>
      <c r="B19" s="170"/>
      <c r="C19" s="171"/>
      <c r="D19" s="171"/>
      <c r="E19" s="171">
        <v>72800</v>
      </c>
      <c r="F19" s="154">
        <f>(TR*BWa)/('SF&amp;RfD'!C12*(IRWndw+E19*IRF))</f>
        <v>6.585477327203495E-09</v>
      </c>
      <c r="G19" s="154" t="s">
        <v>83</v>
      </c>
      <c r="H19" s="183">
        <f t="shared" si="0"/>
        <v>6.585477327203495E-09</v>
      </c>
      <c r="I19" s="214" t="str">
        <f t="shared" si="1"/>
        <v>(*2)C</v>
      </c>
      <c r="J19" s="93"/>
      <c r="K19" s="7"/>
      <c r="L19" s="7"/>
    </row>
    <row r="20" spans="1:12" ht="12.75">
      <c r="A20" s="169" t="str">
        <f>'SF&amp;RfD'!A13</f>
        <v>Ethyl benzene</v>
      </c>
      <c r="B20" s="171">
        <v>8.1</v>
      </c>
      <c r="C20" s="171">
        <v>2.39</v>
      </c>
      <c r="D20" s="171">
        <v>0.7</v>
      </c>
      <c r="E20" s="170"/>
      <c r="F20" s="154"/>
      <c r="G20" s="154"/>
      <c r="H20" s="183">
        <f aca="true" t="shared" si="2" ref="H20:H33">IF(B20,B20,+MAX(C20,D20,(+MIN(F20,G20))))</f>
        <v>8.1</v>
      </c>
      <c r="I20" s="214" t="str">
        <f aca="true" t="shared" si="3" ref="I20:I33">+IF(H20=B20,"(*1)LAC(NDW)",IF(H20=C20,"LAC(DW)",IF(H20=D20,"MCL",IF(H20=F20,"(*2)C",IF(H20=G20,"(*2)N","?")))))</f>
        <v>(*1)LAC(NDW)</v>
      </c>
      <c r="J20" s="93"/>
      <c r="K20" s="7"/>
      <c r="L20" s="7"/>
    </row>
    <row r="21" spans="1:12" ht="12.75">
      <c r="A21" s="169" t="str">
        <f>'SF&amp;RfD'!A14</f>
        <v>Fluoranthene</v>
      </c>
      <c r="B21" s="170"/>
      <c r="C21" s="171"/>
      <c r="D21" s="171"/>
      <c r="E21" s="171">
        <v>4430</v>
      </c>
      <c r="F21" s="154" t="s">
        <v>83</v>
      </c>
      <c r="G21" s="154">
        <f>(THQ*'SF&amp;RfD'!G14*BWa)/(IRWndw+E21*IRF)</f>
        <v>0.03157099527562606</v>
      </c>
      <c r="H21" s="183">
        <f t="shared" si="2"/>
        <v>0.03157099527562606</v>
      </c>
      <c r="I21" s="214" t="str">
        <f t="shared" si="3"/>
        <v>(*2)N</v>
      </c>
      <c r="J21" s="93"/>
      <c r="K21" s="7"/>
      <c r="L21" s="7"/>
    </row>
    <row r="22" spans="1:12" ht="12.75">
      <c r="A22" s="169" t="str">
        <f>'SF&amp;RfD'!A15</f>
        <v>Fluorene</v>
      </c>
      <c r="B22" s="170"/>
      <c r="C22" s="171"/>
      <c r="D22" s="171"/>
      <c r="E22" s="171">
        <v>1800</v>
      </c>
      <c r="F22" s="154" t="s">
        <v>83</v>
      </c>
      <c r="G22" s="154">
        <f>(THQ*'SF&amp;RfD'!G15*BWa)/(IRWndw+E22*IRF)</f>
        <v>0.07758596802349747</v>
      </c>
      <c r="H22" s="183">
        <f t="shared" si="2"/>
        <v>0.07758596802349747</v>
      </c>
      <c r="I22" s="214" t="str">
        <f t="shared" si="3"/>
        <v>(*2)N</v>
      </c>
      <c r="J22" s="93"/>
      <c r="K22" s="7"/>
      <c r="L22" s="7"/>
    </row>
    <row r="23" spans="1:12" ht="12.75">
      <c r="A23" s="169" t="str">
        <f>'SF&amp;RfD'!A16</f>
        <v>Indeno(1,2,3-cd)pyrene</v>
      </c>
      <c r="B23" s="170"/>
      <c r="C23" s="171"/>
      <c r="D23" s="171"/>
      <c r="E23" s="171">
        <v>72800</v>
      </c>
      <c r="F23" s="154">
        <f>(TR*BWa)/('SF&amp;RfD'!C16*(IRWndw+E23*IRF))</f>
        <v>6.585477327203495E-08</v>
      </c>
      <c r="G23" s="154" t="s">
        <v>83</v>
      </c>
      <c r="H23" s="183">
        <f t="shared" si="2"/>
        <v>6.585477327203495E-08</v>
      </c>
      <c r="I23" s="214" t="str">
        <f t="shared" si="3"/>
        <v>(*2)C</v>
      </c>
      <c r="J23" s="93"/>
      <c r="K23" s="7"/>
      <c r="L23" s="7"/>
    </row>
    <row r="24" spans="1:12" ht="12.75">
      <c r="A24" s="169" t="str">
        <f>'SF&amp;RfD'!A17</f>
        <v>Lead (inorganic)</v>
      </c>
      <c r="B24" s="170"/>
      <c r="C24" s="171">
        <v>0.05</v>
      </c>
      <c r="D24" s="171">
        <v>0.015</v>
      </c>
      <c r="E24" s="171"/>
      <c r="F24" s="154" t="s">
        <v>83</v>
      </c>
      <c r="G24" s="154" t="s">
        <v>83</v>
      </c>
      <c r="H24" s="183">
        <f t="shared" si="2"/>
        <v>0.05</v>
      </c>
      <c r="I24" s="214" t="str">
        <f t="shared" si="3"/>
        <v>LAC(DW)</v>
      </c>
      <c r="J24" s="93"/>
      <c r="K24" s="7"/>
      <c r="L24" s="7"/>
    </row>
    <row r="25" spans="1:12" ht="12.75">
      <c r="A25" s="169" t="str">
        <f>'SF&amp;RfD'!A18</f>
        <v>Methyl ethyl ketone</v>
      </c>
      <c r="B25" s="170"/>
      <c r="C25" s="171"/>
      <c r="D25" s="171"/>
      <c r="E25" s="171">
        <v>0.961</v>
      </c>
      <c r="F25" s="154" t="s">
        <v>83</v>
      </c>
      <c r="G25" s="154">
        <f>(THQ*'SF&amp;RfD'!G18*BWa)/(IRWndw+E25*IRF)</f>
        <v>388.098318240621</v>
      </c>
      <c r="H25" s="183">
        <f t="shared" si="2"/>
        <v>388.098318240621</v>
      </c>
      <c r="I25" s="214" t="str">
        <f t="shared" si="3"/>
        <v>(*2)N</v>
      </c>
      <c r="J25" s="93"/>
      <c r="K25" s="7"/>
      <c r="L25" s="7"/>
    </row>
    <row r="26" spans="1:12" ht="12.75">
      <c r="A26" s="169" t="str">
        <f>'SF&amp;RfD'!A19</f>
        <v>Methyl isobutyl ketone</v>
      </c>
      <c r="B26" s="170"/>
      <c r="C26" s="171"/>
      <c r="D26" s="171"/>
      <c r="E26" s="171">
        <v>4.81</v>
      </c>
      <c r="F26" s="154" t="s">
        <v>83</v>
      </c>
      <c r="G26" s="154">
        <f>(THQ*'SF&amp;RfD'!G19*BWa)/(IRWndw+E26*IRF)</f>
        <v>30.237580993520524</v>
      </c>
      <c r="H26" s="183">
        <f t="shared" si="2"/>
        <v>30.237580993520524</v>
      </c>
      <c r="I26" s="214" t="str">
        <f t="shared" si="3"/>
        <v>(*2)N</v>
      </c>
      <c r="J26" s="93"/>
      <c r="K26" s="7"/>
      <c r="L26" s="7"/>
    </row>
    <row r="27" spans="1:12" ht="12.75">
      <c r="A27" s="169" t="str">
        <f>'SF&amp;RfD'!A20</f>
        <v>Methylnaphthalene,2-</v>
      </c>
      <c r="B27" s="170"/>
      <c r="C27" s="171"/>
      <c r="D27" s="171"/>
      <c r="E27" s="171">
        <v>2600</v>
      </c>
      <c r="F27" s="154" t="s">
        <v>83</v>
      </c>
      <c r="G27" s="154">
        <f>(THQ*'SF&amp;RfD'!G20*BWa)/(IRWndw+E27*IRF)</f>
        <v>0.026877075774155774</v>
      </c>
      <c r="H27" s="183">
        <f>IF(B27,B27,+MAX(C27,D27,(+MIN(F27,G27))))</f>
        <v>0.026877075774155774</v>
      </c>
      <c r="I27" s="214" t="str">
        <f>+IF(H27=B27,"(*1)LAC(NDW)",IF(H27=C27,"LAC(DW)",IF(H27=D27,"MCL",IF(H27=F27,"(*2)C",IF(H27=G27,"(*2)N","?")))))</f>
        <v>(*2)N</v>
      </c>
      <c r="J27" s="93"/>
      <c r="K27" s="7"/>
      <c r="L27" s="7"/>
    </row>
    <row r="28" spans="1:12" ht="12.75">
      <c r="A28" s="169" t="str">
        <f>'SF&amp;RfD'!A21</f>
        <v>MTBE (methyl tert-butyl ether)</v>
      </c>
      <c r="B28" s="170"/>
      <c r="C28" s="171"/>
      <c r="D28" s="171">
        <v>0.02</v>
      </c>
      <c r="E28" s="171">
        <v>1</v>
      </c>
      <c r="F28" s="154" t="s">
        <v>83</v>
      </c>
      <c r="G28" s="154">
        <f>(THQ*'SF&amp;RfD'!G21*BWa)/(IRWndw+E28*IRF)</f>
        <v>550.3669724770642</v>
      </c>
      <c r="H28" s="183">
        <f t="shared" si="2"/>
        <v>550.3669724770642</v>
      </c>
      <c r="I28" s="214" t="str">
        <f t="shared" si="3"/>
        <v>(*2)N</v>
      </c>
      <c r="J28" s="93"/>
      <c r="K28" s="7"/>
      <c r="L28" s="7"/>
    </row>
    <row r="29" spans="1:12" ht="12.75">
      <c r="A29" s="169" t="str">
        <f>'SF&amp;RfD'!A22</f>
        <v>Naphthalene</v>
      </c>
      <c r="B29" s="170"/>
      <c r="C29" s="171"/>
      <c r="D29" s="171"/>
      <c r="E29" s="171">
        <v>310</v>
      </c>
      <c r="F29" s="154" t="s">
        <v>83</v>
      </c>
      <c r="G29" s="154">
        <f>(THQ*'SF&amp;RfD'!G22*BWa)/(IRWndw+E29*IRF)</f>
        <v>0.2226109079344888</v>
      </c>
      <c r="H29" s="183">
        <f t="shared" si="2"/>
        <v>0.2226109079344888</v>
      </c>
      <c r="I29" s="214" t="str">
        <f t="shared" si="3"/>
        <v>(*2)N</v>
      </c>
      <c r="J29" s="93"/>
      <c r="K29" s="7"/>
      <c r="L29" s="7"/>
    </row>
    <row r="30" spans="1:12" ht="12.75">
      <c r="A30" s="169" t="str">
        <f>'SF&amp;RfD'!A23</f>
        <v>Phenanthrene</v>
      </c>
      <c r="B30" s="170"/>
      <c r="C30" s="171"/>
      <c r="D30" s="171"/>
      <c r="E30" s="171">
        <v>5100</v>
      </c>
      <c r="F30" s="154" t="s">
        <v>83</v>
      </c>
      <c r="G30" s="154">
        <f>(THQ*'SF&amp;RfD'!G23*BWa)/(IRWndw+E30*IRF)</f>
        <v>0.2057028671061525</v>
      </c>
      <c r="H30" s="183">
        <f>IF(B30,B30,+MAX(C30,D30,(+MIN(F30,G30))))</f>
        <v>0.2057028671061525</v>
      </c>
      <c r="I30" s="214" t="str">
        <f>+IF(H30=B30,"(*1)LAC(NDW)",IF(H30=C30,"LAC(DW)",IF(H30=D30,"MCL",IF(H30=F30,"(*2)C",IF(H30=G30,"(*2)N","?")))))</f>
        <v>(*2)N</v>
      </c>
      <c r="J30" s="93"/>
      <c r="K30" s="7"/>
      <c r="L30" s="7"/>
    </row>
    <row r="31" spans="1:12" ht="12.75">
      <c r="A31" s="169" t="str">
        <f>'SF&amp;RfD'!A24</f>
        <v>Pyrene</v>
      </c>
      <c r="B31" s="170"/>
      <c r="C31" s="171"/>
      <c r="D31" s="171"/>
      <c r="E31" s="171">
        <v>69</v>
      </c>
      <c r="F31" s="154" t="s">
        <v>83</v>
      </c>
      <c r="G31" s="154">
        <f>(THQ*'SF&amp;RfD'!G24*BWa)/(IRWndw+E31*IRF)</f>
        <v>1.4295439074200136</v>
      </c>
      <c r="H31" s="183">
        <f t="shared" si="2"/>
        <v>1.4295439074200136</v>
      </c>
      <c r="I31" s="214" t="str">
        <f t="shared" si="3"/>
        <v>(*2)N</v>
      </c>
      <c r="J31" s="93"/>
      <c r="K31" s="7"/>
      <c r="L31" s="7"/>
    </row>
    <row r="32" spans="1:12" ht="12.75">
      <c r="A32" s="169" t="str">
        <f>'SF&amp;RfD'!A25</f>
        <v>Toluene</v>
      </c>
      <c r="B32" s="171">
        <v>46.2</v>
      </c>
      <c r="C32" s="171">
        <v>6.1</v>
      </c>
      <c r="D32" s="171">
        <v>1</v>
      </c>
      <c r="E32" s="170"/>
      <c r="F32" s="154"/>
      <c r="G32" s="154"/>
      <c r="H32" s="183">
        <f t="shared" si="2"/>
        <v>46.2</v>
      </c>
      <c r="I32" s="214" t="str">
        <f t="shared" si="3"/>
        <v>(*1)LAC(NDW)</v>
      </c>
      <c r="J32" s="93"/>
      <c r="K32" s="7"/>
      <c r="L32" s="7"/>
    </row>
    <row r="33" spans="1:12" ht="12.75">
      <c r="A33" s="169" t="str">
        <f>'SF&amp;RfD'!A26</f>
        <v>Xylene(mixed)</v>
      </c>
      <c r="B33" s="170"/>
      <c r="C33" s="171"/>
      <c r="D33" s="171">
        <v>10</v>
      </c>
      <c r="E33" s="171">
        <v>159</v>
      </c>
      <c r="F33" s="154" t="s">
        <v>83</v>
      </c>
      <c r="G33" s="154">
        <f>(THQ*'SF&amp;RfD'!G26*BWa)/(IRWndw+E33*IRF)</f>
        <v>4.282655246252676</v>
      </c>
      <c r="H33" s="183">
        <f t="shared" si="2"/>
        <v>10</v>
      </c>
      <c r="I33" s="214" t="str">
        <f t="shared" si="3"/>
        <v>MCL</v>
      </c>
      <c r="J33" s="93"/>
      <c r="K33" s="7"/>
      <c r="L33" s="7"/>
    </row>
    <row r="34" spans="1:12" ht="12.75">
      <c r="A34" s="169" t="str">
        <f>'SF&amp;RfD'!A27</f>
        <v>Aliphatics C6-C8</v>
      </c>
      <c r="B34" s="170"/>
      <c r="C34" s="171"/>
      <c r="D34" s="171"/>
      <c r="E34" s="171">
        <f aca="true" t="shared" si="4" ref="E34:E43">H121</f>
        <v>0</v>
      </c>
      <c r="F34" s="154" t="s">
        <v>83</v>
      </c>
      <c r="G34" s="154">
        <f>(THQ*'SF&amp;RfD'!G27*BWa)/(IRWndw+E34*IRF)</f>
        <v>3932.5842696629215</v>
      </c>
      <c r="H34" s="183">
        <f aca="true" t="shared" si="5" ref="H34:H43">IF(B34,B34,+MAX(C34,D34,(+MIN(F34,G34))))</f>
        <v>3932.5842696629215</v>
      </c>
      <c r="I34" s="214" t="str">
        <f aca="true" t="shared" si="6" ref="I34:I43">+IF(H34=B34,"(*1)LAC(NDW)",IF(H34=C34,"LAC(DW)",IF(H34=D34,"MCL",IF(H34=F34,"(*2)C",IF(H34=G34,"(*2)N","?")))))</f>
        <v>(*2)N</v>
      </c>
      <c r="J34" s="93"/>
      <c r="K34" s="7"/>
      <c r="L34" s="7"/>
    </row>
    <row r="35" spans="1:12" ht="12.75">
      <c r="A35" s="169" t="str">
        <f>'SF&amp;RfD'!A28</f>
        <v>Aliphatics &gt;C8-C10</v>
      </c>
      <c r="B35" s="170"/>
      <c r="C35" s="171"/>
      <c r="D35" s="171"/>
      <c r="E35" s="171">
        <f t="shared" si="4"/>
        <v>0</v>
      </c>
      <c r="F35" s="154" t="s">
        <v>83</v>
      </c>
      <c r="G35" s="154">
        <f>(THQ*'SF&amp;RfD'!G28*BWa)/(IRWndw+E35*IRF)</f>
        <v>78.65168539325843</v>
      </c>
      <c r="H35" s="183">
        <f t="shared" si="5"/>
        <v>78.65168539325843</v>
      </c>
      <c r="I35" s="214" t="str">
        <f t="shared" si="6"/>
        <v>(*2)N</v>
      </c>
      <c r="J35" s="93"/>
      <c r="K35" s="7"/>
      <c r="L35" s="7"/>
    </row>
    <row r="36" spans="1:12" ht="12.75">
      <c r="A36" s="169" t="str">
        <f>'SF&amp;RfD'!A29</f>
        <v>Aliphatics &gt;C10-C12</v>
      </c>
      <c r="B36" s="170"/>
      <c r="C36" s="171"/>
      <c r="D36" s="171"/>
      <c r="E36" s="171">
        <f t="shared" si="4"/>
        <v>0</v>
      </c>
      <c r="F36" s="154" t="s">
        <v>83</v>
      </c>
      <c r="G36" s="154">
        <f>(THQ*'SF&amp;RfD'!G29*BWa)/(IRWndw+E36*IRF)</f>
        <v>78.65168539325843</v>
      </c>
      <c r="H36" s="183">
        <f t="shared" si="5"/>
        <v>78.65168539325843</v>
      </c>
      <c r="I36" s="214" t="str">
        <f t="shared" si="6"/>
        <v>(*2)N</v>
      </c>
      <c r="J36" s="93"/>
      <c r="K36" s="7"/>
      <c r="L36" s="7"/>
    </row>
    <row r="37" spans="1:12" ht="12.75">
      <c r="A37" s="169" t="str">
        <f>'SF&amp;RfD'!A30</f>
        <v>Aliphatics &gt;C12-C16</v>
      </c>
      <c r="B37" s="170"/>
      <c r="C37" s="171"/>
      <c r="D37" s="171"/>
      <c r="E37" s="171">
        <f t="shared" si="4"/>
        <v>0</v>
      </c>
      <c r="F37" s="154" t="s">
        <v>83</v>
      </c>
      <c r="G37" s="154">
        <f>(THQ*'SF&amp;RfD'!G30*BWa)/(IRWndw+E37*IRF)</f>
        <v>78.65168539325843</v>
      </c>
      <c r="H37" s="183">
        <f t="shared" si="5"/>
        <v>78.65168539325843</v>
      </c>
      <c r="I37" s="214" t="str">
        <f t="shared" si="6"/>
        <v>(*2)N</v>
      </c>
      <c r="J37" s="93"/>
      <c r="K37" s="7"/>
      <c r="L37" s="7"/>
    </row>
    <row r="38" spans="1:12" ht="12.75">
      <c r="A38" s="169" t="str">
        <f>'SF&amp;RfD'!A31</f>
        <v>Aliphatics &gt;C16-C35</v>
      </c>
      <c r="B38" s="170"/>
      <c r="C38" s="171"/>
      <c r="D38" s="171"/>
      <c r="E38" s="171">
        <f t="shared" si="4"/>
        <v>0</v>
      </c>
      <c r="F38" s="154" t="s">
        <v>83</v>
      </c>
      <c r="G38" s="154">
        <f>(THQ*'SF&amp;RfD'!G31*BWa)/(IRWndw+E38*IRF)</f>
        <v>1573.0337078651687</v>
      </c>
      <c r="H38" s="183">
        <f t="shared" si="5"/>
        <v>1573.0337078651687</v>
      </c>
      <c r="I38" s="214" t="str">
        <f t="shared" si="6"/>
        <v>(*2)N</v>
      </c>
      <c r="J38" s="93"/>
      <c r="K38" s="7"/>
      <c r="L38" s="7"/>
    </row>
    <row r="39" spans="1:12" ht="12.75">
      <c r="A39" s="169" t="str">
        <f>'SF&amp;RfD'!A32</f>
        <v>Aromatics &gt;C8-C10</v>
      </c>
      <c r="B39" s="170"/>
      <c r="C39" s="171"/>
      <c r="D39" s="171"/>
      <c r="E39" s="171">
        <f t="shared" si="4"/>
        <v>0</v>
      </c>
      <c r="F39" s="154" t="s">
        <v>83</v>
      </c>
      <c r="G39" s="154">
        <f>(THQ*'SF&amp;RfD'!G32*BWa)/(IRWndw+E39*IRF)</f>
        <v>31.460674157303377</v>
      </c>
      <c r="H39" s="183">
        <f t="shared" si="5"/>
        <v>31.460674157303377</v>
      </c>
      <c r="I39" s="214" t="str">
        <f t="shared" si="6"/>
        <v>(*2)N</v>
      </c>
      <c r="J39" s="93"/>
      <c r="K39" s="7"/>
      <c r="L39" s="7"/>
    </row>
    <row r="40" spans="1:12" ht="12.75">
      <c r="A40" s="169" t="str">
        <f>'SF&amp;RfD'!A33</f>
        <v>Aromatics &gt;C10-C12</v>
      </c>
      <c r="B40" s="170"/>
      <c r="C40" s="171"/>
      <c r="D40" s="171"/>
      <c r="E40" s="171">
        <f t="shared" si="4"/>
        <v>0</v>
      </c>
      <c r="F40" s="154" t="s">
        <v>83</v>
      </c>
      <c r="G40" s="154">
        <f>(THQ*'SF&amp;RfD'!G33*BWa)/(IRWndw+E40*IRF)</f>
        <v>31.460674157303377</v>
      </c>
      <c r="H40" s="183">
        <f t="shared" si="5"/>
        <v>31.460674157303377</v>
      </c>
      <c r="I40" s="214" t="str">
        <f t="shared" si="6"/>
        <v>(*2)N</v>
      </c>
      <c r="J40" s="93"/>
      <c r="K40" s="7"/>
      <c r="L40" s="7"/>
    </row>
    <row r="41" spans="1:12" ht="12.75">
      <c r="A41" s="169" t="str">
        <f>'SF&amp;RfD'!A34</f>
        <v>Aromatics &gt;C12-C16</v>
      </c>
      <c r="B41" s="170"/>
      <c r="C41" s="171"/>
      <c r="D41" s="171"/>
      <c r="E41" s="171">
        <f t="shared" si="4"/>
        <v>0</v>
      </c>
      <c r="F41" s="154" t="s">
        <v>83</v>
      </c>
      <c r="G41" s="154">
        <f>(THQ*'SF&amp;RfD'!G34*BWa)/(IRWndw+E41*IRF)</f>
        <v>31.460674157303377</v>
      </c>
      <c r="H41" s="183">
        <f t="shared" si="5"/>
        <v>31.460674157303377</v>
      </c>
      <c r="I41" s="214" t="str">
        <f t="shared" si="6"/>
        <v>(*2)N</v>
      </c>
      <c r="J41" s="93"/>
      <c r="K41" s="7"/>
      <c r="L41" s="7"/>
    </row>
    <row r="42" spans="1:12" ht="12.75">
      <c r="A42" s="169" t="str">
        <f>'SF&amp;RfD'!A35</f>
        <v>Aromatics &gt;C16-C21</v>
      </c>
      <c r="B42" s="170"/>
      <c r="C42" s="171"/>
      <c r="D42" s="171"/>
      <c r="E42" s="171">
        <f t="shared" si="4"/>
        <v>0</v>
      </c>
      <c r="F42" s="154" t="s">
        <v>83</v>
      </c>
      <c r="G42" s="154">
        <f>(THQ*'SF&amp;RfD'!G35*BWa)/(IRWndw+E42*IRF)</f>
        <v>23.59550561797753</v>
      </c>
      <c r="H42" s="183">
        <f t="shared" si="5"/>
        <v>23.59550561797753</v>
      </c>
      <c r="I42" s="214" t="str">
        <f t="shared" si="6"/>
        <v>(*2)N</v>
      </c>
      <c r="J42" s="93"/>
      <c r="K42" s="7"/>
      <c r="L42" s="7"/>
    </row>
    <row r="43" spans="1:12" ht="12.75">
      <c r="A43" s="169" t="str">
        <f>'SF&amp;RfD'!A36</f>
        <v>Aromatics &gt;C21-C35</v>
      </c>
      <c r="B43" s="170"/>
      <c r="C43" s="170"/>
      <c r="D43" s="171"/>
      <c r="E43" s="171">
        <f t="shared" si="4"/>
        <v>0</v>
      </c>
      <c r="F43" s="154" t="s">
        <v>83</v>
      </c>
      <c r="G43" s="154">
        <f>(THQ*'SF&amp;RfD'!G36*BWa)/(IRWndw+E43*IRF)</f>
        <v>23.59550561797753</v>
      </c>
      <c r="H43" s="183">
        <f t="shared" si="5"/>
        <v>23.59550561797753</v>
      </c>
      <c r="I43" s="214" t="str">
        <f t="shared" si="6"/>
        <v>(*2)N</v>
      </c>
      <c r="J43" s="93"/>
      <c r="K43" s="7"/>
      <c r="L43" s="7"/>
    </row>
    <row r="44" spans="1:12" ht="12.75">
      <c r="A44" s="213" t="s">
        <v>501</v>
      </c>
      <c r="B44" s="170"/>
      <c r="C44" s="170"/>
      <c r="D44" s="171"/>
      <c r="E44" s="171"/>
      <c r="F44" s="154"/>
      <c r="G44" s="154"/>
      <c r="H44" s="183">
        <f>+MIN(H34:H35,H39)</f>
        <v>31.460674157303377</v>
      </c>
      <c r="I44" s="214"/>
      <c r="J44" s="81"/>
      <c r="K44" s="7"/>
      <c r="L44" s="7"/>
    </row>
    <row r="45" spans="1:12" ht="12.75">
      <c r="A45" s="213" t="s">
        <v>502</v>
      </c>
      <c r="B45" s="170"/>
      <c r="C45" s="170"/>
      <c r="D45" s="171"/>
      <c r="E45" s="171"/>
      <c r="F45" s="154"/>
      <c r="G45" s="154"/>
      <c r="H45" s="183">
        <f>+MIN(H35:H38,H39:H43)</f>
        <v>23.59550561797753</v>
      </c>
      <c r="I45" s="214"/>
      <c r="J45" s="81"/>
      <c r="K45" s="7"/>
      <c r="L45" s="7"/>
    </row>
    <row r="46" spans="1:12" ht="12.75">
      <c r="A46" s="215" t="s">
        <v>503</v>
      </c>
      <c r="B46" s="161"/>
      <c r="C46" s="161"/>
      <c r="D46" s="174"/>
      <c r="E46" s="174"/>
      <c r="F46" s="226"/>
      <c r="G46" s="226"/>
      <c r="H46" s="184">
        <f>+MIN(H38,H43)</f>
        <v>23.59550561797753</v>
      </c>
      <c r="I46" s="216"/>
      <c r="J46" s="81"/>
      <c r="K46" s="7"/>
      <c r="L46" s="7"/>
    </row>
    <row r="47" spans="1:12" ht="12.75">
      <c r="A47" s="227"/>
      <c r="B47" s="102"/>
      <c r="C47" s="102"/>
      <c r="D47" s="102"/>
      <c r="E47" s="102"/>
      <c r="F47" s="102"/>
      <c r="G47" s="217"/>
      <c r="H47" s="102"/>
      <c r="I47" s="102"/>
      <c r="J47" s="7"/>
      <c r="K47" s="7"/>
      <c r="L47" s="7"/>
    </row>
    <row r="48" spans="1:12" ht="12.75">
      <c r="A48" s="227" t="s">
        <v>260</v>
      </c>
      <c r="B48" s="102"/>
      <c r="C48" s="102"/>
      <c r="D48" s="102"/>
      <c r="E48" s="102"/>
      <c r="F48" s="102"/>
      <c r="G48" s="102"/>
      <c r="H48" s="102"/>
      <c r="I48" s="102"/>
      <c r="J48" s="7"/>
      <c r="K48" s="7"/>
      <c r="L48" s="7"/>
    </row>
    <row r="49" spans="1:12" ht="12.75">
      <c r="A49" s="227" t="s">
        <v>261</v>
      </c>
      <c r="B49" s="102"/>
      <c r="C49" s="102"/>
      <c r="D49" s="102"/>
      <c r="E49" s="102"/>
      <c r="F49" s="102"/>
      <c r="G49" s="102"/>
      <c r="H49" s="102"/>
      <c r="I49" s="102"/>
      <c r="J49" s="7"/>
      <c r="K49" s="7"/>
      <c r="L49" s="7"/>
    </row>
    <row r="50" spans="1:12" ht="12.75">
      <c r="A50" s="228" t="s">
        <v>262</v>
      </c>
      <c r="B50" s="102"/>
      <c r="C50" s="102"/>
      <c r="D50" s="102"/>
      <c r="E50" s="102"/>
      <c r="F50" s="102"/>
      <c r="G50" s="102"/>
      <c r="H50" s="102"/>
      <c r="I50" s="102"/>
      <c r="J50" s="7"/>
      <c r="K50" s="7"/>
      <c r="L50" s="7"/>
    </row>
    <row r="51" spans="1:12" ht="12.75">
      <c r="A51" s="228" t="s">
        <v>491</v>
      </c>
      <c r="B51" s="102"/>
      <c r="C51" s="102"/>
      <c r="D51" s="102"/>
      <c r="E51" s="102"/>
      <c r="F51" s="102"/>
      <c r="G51" s="102"/>
      <c r="H51" s="102"/>
      <c r="I51" s="102"/>
      <c r="J51" s="7"/>
      <c r="K51" s="7"/>
      <c r="L51" s="7"/>
    </row>
    <row r="52" spans="1:12" ht="12.75">
      <c r="A52" s="228" t="s">
        <v>263</v>
      </c>
      <c r="B52" s="102"/>
      <c r="C52" s="102"/>
      <c r="D52" s="102"/>
      <c r="E52" s="102"/>
      <c r="F52" s="102"/>
      <c r="G52" s="102"/>
      <c r="H52" s="102"/>
      <c r="I52" s="102"/>
      <c r="J52" s="7"/>
      <c r="K52" s="7"/>
      <c r="L52" s="7"/>
    </row>
    <row r="53" spans="1:12" ht="12.75">
      <c r="A53" s="227" t="s">
        <v>264</v>
      </c>
      <c r="B53" s="102"/>
      <c r="C53" s="102"/>
      <c r="D53" s="102"/>
      <c r="E53" s="102"/>
      <c r="F53" s="102"/>
      <c r="G53" s="102"/>
      <c r="H53" s="102"/>
      <c r="I53" s="102"/>
      <c r="J53" s="7"/>
      <c r="K53" s="7"/>
      <c r="L53" s="7"/>
    </row>
    <row r="54" spans="1:12" ht="12.75">
      <c r="A54" s="227" t="s">
        <v>265</v>
      </c>
      <c r="B54" s="102"/>
      <c r="C54" s="102"/>
      <c r="D54" s="102"/>
      <c r="E54" s="102"/>
      <c r="F54" s="102"/>
      <c r="G54" s="102"/>
      <c r="H54" s="102"/>
      <c r="I54" s="102"/>
      <c r="J54" s="7"/>
      <c r="K54" s="7"/>
      <c r="L54" s="7"/>
    </row>
    <row r="55" spans="1:12" ht="12.75">
      <c r="A55" s="227" t="s">
        <v>266</v>
      </c>
      <c r="B55" s="102"/>
      <c r="C55" s="102"/>
      <c r="D55" s="102"/>
      <c r="E55" s="102"/>
      <c r="F55" s="102"/>
      <c r="G55" s="102"/>
      <c r="H55" s="102"/>
      <c r="I55" s="102"/>
      <c r="J55" s="7"/>
      <c r="K55" s="7"/>
      <c r="L55" s="7"/>
    </row>
    <row r="56" spans="1:12" ht="12.75">
      <c r="A56" s="102" t="s">
        <v>432</v>
      </c>
      <c r="B56" s="102"/>
      <c r="C56" s="102"/>
      <c r="D56" s="102"/>
      <c r="E56" s="102"/>
      <c r="F56" s="102"/>
      <c r="G56" s="102"/>
      <c r="H56" s="102"/>
      <c r="I56" s="102"/>
      <c r="J56" s="7"/>
      <c r="K56" s="7"/>
      <c r="L56" s="7"/>
    </row>
    <row r="57" spans="1:12" ht="12.75">
      <c r="A57" s="8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85" t="s">
        <v>267</v>
      </c>
      <c r="J58" s="7"/>
      <c r="K58" s="7"/>
      <c r="L58" s="7"/>
    </row>
    <row r="59" spans="1:12" ht="12.75">
      <c r="A59" s="85" t="s">
        <v>268</v>
      </c>
      <c r="J59" s="7"/>
      <c r="K59" s="7"/>
      <c r="L59" s="7"/>
    </row>
    <row r="60" spans="1:12" ht="12.75">
      <c r="A60" s="83" t="s">
        <v>269</v>
      </c>
      <c r="J60" s="7"/>
      <c r="K60" s="7"/>
      <c r="L60" s="7"/>
    </row>
    <row r="61" spans="1:12" ht="12.75">
      <c r="A61" s="83" t="s">
        <v>270</v>
      </c>
      <c r="J61" s="7"/>
      <c r="K61" s="7"/>
      <c r="L61" s="7"/>
    </row>
    <row r="62" spans="10:12" ht="12.75">
      <c r="J62" s="7"/>
      <c r="K62" s="7"/>
      <c r="L62" s="7"/>
    </row>
    <row r="63" spans="1:12" ht="12.75">
      <c r="A63" s="143"/>
      <c r="B63" s="143"/>
      <c r="C63" s="143"/>
      <c r="D63" s="143"/>
      <c r="E63" s="143"/>
      <c r="F63" s="26" t="s">
        <v>271</v>
      </c>
      <c r="G63" s="26" t="s">
        <v>272</v>
      </c>
      <c r="H63" s="26" t="s">
        <v>241</v>
      </c>
      <c r="I63" s="143"/>
      <c r="J63" s="7"/>
      <c r="K63" s="7"/>
      <c r="L63" s="7"/>
    </row>
    <row r="64" spans="1:12" ht="12.75">
      <c r="A64" s="143"/>
      <c r="B64" s="143"/>
      <c r="C64" s="143"/>
      <c r="D64" s="143"/>
      <c r="E64" s="143"/>
      <c r="F64" s="26"/>
      <c r="G64" s="26"/>
      <c r="H64" s="26"/>
      <c r="I64" s="143"/>
      <c r="J64" s="7"/>
      <c r="K64" s="7"/>
      <c r="L64" s="7"/>
    </row>
    <row r="65" spans="1:12" ht="12.75">
      <c r="A65" s="144" t="s">
        <v>433</v>
      </c>
      <c r="B65" s="144"/>
      <c r="C65" s="144"/>
      <c r="D65" s="144"/>
      <c r="E65" s="144"/>
      <c r="F65" s="124">
        <v>3.5</v>
      </c>
      <c r="G65" s="145">
        <f>$F65*0.76-0.23</f>
        <v>2.43</v>
      </c>
      <c r="H65" s="116">
        <f>10^(G65)</f>
        <v>269.1534803926918</v>
      </c>
      <c r="I65" s="143"/>
      <c r="J65" s="7"/>
      <c r="K65" s="7"/>
      <c r="L65" s="7"/>
    </row>
    <row r="66" spans="1:12" ht="12.75">
      <c r="A66" s="146" t="s">
        <v>11</v>
      </c>
      <c r="B66" s="143"/>
      <c r="C66" s="143"/>
      <c r="D66" s="143"/>
      <c r="E66" s="143"/>
      <c r="F66" s="147">
        <v>-0.24</v>
      </c>
      <c r="G66" s="148">
        <f>$F66*0.76-0.23</f>
        <v>-0.4124</v>
      </c>
      <c r="H66" s="46">
        <f>10^(G66)</f>
        <v>0.3869011316551086</v>
      </c>
      <c r="I66" s="143"/>
      <c r="J66" s="7"/>
      <c r="K66" s="7"/>
      <c r="L66" s="7"/>
    </row>
    <row r="67" spans="1:12" ht="12.75">
      <c r="A67" s="146" t="s">
        <v>12</v>
      </c>
      <c r="B67" s="143"/>
      <c r="C67" s="143"/>
      <c r="D67" s="143"/>
      <c r="E67" s="143"/>
      <c r="F67" s="147">
        <v>0.98</v>
      </c>
      <c r="G67" s="148">
        <f>$F67*0.76-0.23</f>
        <v>0.5148</v>
      </c>
      <c r="H67" s="46">
        <f>10^(G67)</f>
        <v>3.271899836231792</v>
      </c>
      <c r="I67" s="143"/>
      <c r="J67" s="7"/>
      <c r="K67" s="7"/>
      <c r="L67" s="7"/>
    </row>
    <row r="68" spans="1:12" ht="12.75">
      <c r="A68" s="146" t="s">
        <v>273</v>
      </c>
      <c r="B68" s="143"/>
      <c r="C68" s="143"/>
      <c r="D68" s="143"/>
      <c r="E68" s="143"/>
      <c r="F68" s="147"/>
      <c r="G68" s="148"/>
      <c r="H68" s="46">
        <v>1</v>
      </c>
      <c r="I68" s="146" t="s">
        <v>274</v>
      </c>
      <c r="J68" s="7"/>
      <c r="K68" s="7"/>
      <c r="L68" s="7"/>
    </row>
    <row r="69" spans="1:12" ht="12.75">
      <c r="A69" s="146" t="s">
        <v>21</v>
      </c>
      <c r="B69" s="143"/>
      <c r="C69" s="143"/>
      <c r="D69" s="143"/>
      <c r="E69" s="143"/>
      <c r="F69" s="147">
        <v>5.7</v>
      </c>
      <c r="G69" s="148">
        <f aca="true" t="shared" si="7" ref="G69:G80">$F69*0.76-0.23</f>
        <v>4.101999999999999</v>
      </c>
      <c r="H69" s="46">
        <f aca="true" t="shared" si="8" ref="H69:H80">10^(G69)</f>
        <v>12647.363474711507</v>
      </c>
      <c r="I69" s="143"/>
      <c r="J69" s="7"/>
      <c r="K69" s="7"/>
      <c r="L69" s="7"/>
    </row>
    <row r="70" spans="1:12" ht="12.75">
      <c r="A70" s="146" t="s">
        <v>25</v>
      </c>
      <c r="B70" s="143"/>
      <c r="C70" s="143"/>
      <c r="D70" s="143"/>
      <c r="E70" s="143"/>
      <c r="F70" s="147">
        <v>6.2</v>
      </c>
      <c r="G70" s="148">
        <f t="shared" si="7"/>
        <v>4.482</v>
      </c>
      <c r="H70" s="46">
        <f t="shared" si="8"/>
        <v>30338.911841942743</v>
      </c>
      <c r="I70" s="143"/>
      <c r="J70" s="7"/>
      <c r="K70" s="7"/>
      <c r="L70" s="7"/>
    </row>
    <row r="71" spans="1:12" ht="12.75">
      <c r="A71" s="146" t="s">
        <v>27</v>
      </c>
      <c r="B71" s="143"/>
      <c r="C71" s="143"/>
      <c r="D71" s="143"/>
      <c r="E71" s="143"/>
      <c r="F71" s="147">
        <v>6.2</v>
      </c>
      <c r="G71" s="148">
        <f t="shared" si="7"/>
        <v>4.482</v>
      </c>
      <c r="H71" s="46">
        <f t="shared" si="8"/>
        <v>30338.911841942743</v>
      </c>
      <c r="I71" s="143"/>
      <c r="J71" s="7"/>
      <c r="K71" s="7"/>
      <c r="L71" s="7"/>
    </row>
    <row r="72" spans="1:12" ht="12.75">
      <c r="A72" s="146" t="s">
        <v>275</v>
      </c>
      <c r="B72" s="143"/>
      <c r="C72" s="143"/>
      <c r="D72" s="143"/>
      <c r="E72" s="143"/>
      <c r="F72" s="147">
        <v>4</v>
      </c>
      <c r="G72" s="148">
        <f t="shared" si="7"/>
        <v>2.81</v>
      </c>
      <c r="H72" s="46">
        <f t="shared" si="8"/>
        <v>645.6542290346559</v>
      </c>
      <c r="I72" s="143"/>
      <c r="J72" s="7"/>
      <c r="K72" s="7"/>
      <c r="L72" s="7"/>
    </row>
    <row r="73" spans="1:12" ht="12.75">
      <c r="A73" s="146" t="s">
        <v>29</v>
      </c>
      <c r="B73" s="143"/>
      <c r="C73" s="143"/>
      <c r="D73" s="143"/>
      <c r="E73" s="143"/>
      <c r="F73" s="147">
        <v>2.6</v>
      </c>
      <c r="G73" s="148">
        <f t="shared" si="7"/>
        <v>1.7460000000000002</v>
      </c>
      <c r="H73" s="46">
        <f t="shared" si="8"/>
        <v>55.718574893193036</v>
      </c>
      <c r="I73" s="143"/>
      <c r="J73" s="7"/>
      <c r="K73" s="7"/>
      <c r="L73" s="7"/>
    </row>
    <row r="74" spans="1:12" ht="12.75">
      <c r="A74" s="146" t="s">
        <v>31</v>
      </c>
      <c r="B74" s="143"/>
      <c r="C74" s="143"/>
      <c r="D74" s="143"/>
      <c r="E74" s="143"/>
      <c r="F74" s="147">
        <v>1.2</v>
      </c>
      <c r="G74" s="148">
        <f t="shared" si="7"/>
        <v>0.6819999999999999</v>
      </c>
      <c r="H74" s="46">
        <f t="shared" si="8"/>
        <v>4.8083934844972855</v>
      </c>
      <c r="I74" s="143"/>
      <c r="J74" s="7"/>
      <c r="K74" s="7"/>
      <c r="L74" s="7"/>
    </row>
    <row r="75" spans="1:12" ht="12.75">
      <c r="A75" s="146" t="s">
        <v>276</v>
      </c>
      <c r="B75" s="143"/>
      <c r="C75" s="143"/>
      <c r="D75" s="143"/>
      <c r="E75" s="143"/>
      <c r="F75" s="147">
        <v>2</v>
      </c>
      <c r="G75" s="148">
        <f t="shared" si="7"/>
        <v>1.29</v>
      </c>
      <c r="H75" s="46">
        <f t="shared" si="8"/>
        <v>19.498445997580465</v>
      </c>
      <c r="I75" s="143"/>
      <c r="J75" s="7"/>
      <c r="K75" s="7"/>
      <c r="L75" s="7"/>
    </row>
    <row r="76" spans="1:12" ht="12.75">
      <c r="A76" s="146" t="s">
        <v>277</v>
      </c>
      <c r="B76" s="143"/>
      <c r="C76" s="143"/>
      <c r="D76" s="143"/>
      <c r="E76" s="143"/>
      <c r="F76" s="147">
        <v>1.9</v>
      </c>
      <c r="G76" s="148">
        <f t="shared" si="7"/>
        <v>1.214</v>
      </c>
      <c r="H76" s="46">
        <f t="shared" si="8"/>
        <v>16.36816521427809</v>
      </c>
      <c r="I76" s="143"/>
      <c r="J76" s="7"/>
      <c r="K76" s="7"/>
      <c r="L76" s="7"/>
    </row>
    <row r="77" spans="1:12" ht="12.75">
      <c r="A77" s="146" t="s">
        <v>34</v>
      </c>
      <c r="B77" s="143"/>
      <c r="C77" s="143"/>
      <c r="D77" s="143"/>
      <c r="E77" s="143"/>
      <c r="F77" s="147">
        <v>2.9</v>
      </c>
      <c r="G77" s="148">
        <f t="shared" si="7"/>
        <v>1.9739999999999998</v>
      </c>
      <c r="H77" s="46">
        <f t="shared" si="8"/>
        <v>94.18895965228414</v>
      </c>
      <c r="I77" s="143"/>
      <c r="J77" s="7"/>
      <c r="K77" s="7"/>
      <c r="L77" s="7"/>
    </row>
    <row r="78" spans="1:12" ht="12.75">
      <c r="A78" s="146" t="s">
        <v>278</v>
      </c>
      <c r="B78" s="143"/>
      <c r="C78" s="143"/>
      <c r="D78" s="143"/>
      <c r="E78" s="143"/>
      <c r="F78" s="147">
        <v>1.4</v>
      </c>
      <c r="G78" s="148">
        <f t="shared" si="7"/>
        <v>0.8339999999999999</v>
      </c>
      <c r="H78" s="46">
        <f t="shared" si="8"/>
        <v>6.823386941416694</v>
      </c>
      <c r="I78" s="143"/>
      <c r="J78" s="7"/>
      <c r="K78" s="7"/>
      <c r="L78" s="7"/>
    </row>
    <row r="79" spans="1:12" ht="12.75">
      <c r="A79" s="146" t="s">
        <v>279</v>
      </c>
      <c r="B79" s="143"/>
      <c r="C79" s="143"/>
      <c r="D79" s="143"/>
      <c r="E79" s="143"/>
      <c r="F79" s="147">
        <v>0.91</v>
      </c>
      <c r="G79" s="148">
        <f t="shared" si="7"/>
        <v>0.4616</v>
      </c>
      <c r="H79" s="46">
        <f t="shared" si="8"/>
        <v>2.89467626417603</v>
      </c>
      <c r="I79" s="143"/>
      <c r="J79" s="7"/>
      <c r="K79" s="7"/>
      <c r="L79" s="7"/>
    </row>
    <row r="80" spans="1:12" ht="12.75">
      <c r="A80" s="146" t="s">
        <v>280</v>
      </c>
      <c r="B80" s="143"/>
      <c r="C80" s="143"/>
      <c r="D80" s="143"/>
      <c r="E80" s="143"/>
      <c r="F80" s="147">
        <v>4.1</v>
      </c>
      <c r="G80" s="148">
        <f t="shared" si="7"/>
        <v>2.8859999999999997</v>
      </c>
      <c r="H80" s="46">
        <f t="shared" si="8"/>
        <v>769.1304402866094</v>
      </c>
      <c r="I80" s="143"/>
      <c r="J80" s="7"/>
      <c r="K80" s="7"/>
      <c r="L80" s="7"/>
    </row>
    <row r="81" spans="1:12" ht="12.75">
      <c r="A81" s="146" t="s">
        <v>352</v>
      </c>
      <c r="B81" s="143"/>
      <c r="C81" s="143"/>
      <c r="D81" s="143"/>
      <c r="E81" s="143"/>
      <c r="F81" s="26"/>
      <c r="G81" s="148"/>
      <c r="H81" s="46">
        <v>1</v>
      </c>
      <c r="I81" s="146" t="s">
        <v>274</v>
      </c>
      <c r="J81" s="7"/>
      <c r="K81" s="7"/>
      <c r="L81" s="7"/>
    </row>
    <row r="82" spans="1:12" ht="12.75">
      <c r="A82" s="146" t="s">
        <v>281</v>
      </c>
      <c r="B82" s="143"/>
      <c r="C82" s="143"/>
      <c r="D82" s="143"/>
      <c r="E82" s="143"/>
      <c r="F82" s="147"/>
      <c r="G82" s="148"/>
      <c r="H82" s="46">
        <v>1</v>
      </c>
      <c r="I82" s="146" t="s">
        <v>274</v>
      </c>
      <c r="J82" s="7"/>
      <c r="K82" s="7"/>
      <c r="L82" s="7"/>
    </row>
    <row r="83" spans="1:12" ht="12.75">
      <c r="A83" s="146" t="s">
        <v>36</v>
      </c>
      <c r="B83" s="143"/>
      <c r="C83" s="143"/>
      <c r="D83" s="143"/>
      <c r="E83" s="143"/>
      <c r="F83" s="147">
        <v>5.7</v>
      </c>
      <c r="G83" s="148">
        <f>$F83*0.76-0.23</f>
        <v>4.101999999999999</v>
      </c>
      <c r="H83" s="46">
        <f>10^(G83)</f>
        <v>12647.363474711507</v>
      </c>
      <c r="I83" s="143"/>
      <c r="J83" s="7"/>
      <c r="K83" s="7"/>
      <c r="L83" s="7"/>
    </row>
    <row r="84" spans="1:12" ht="12.75">
      <c r="A84" s="146" t="s">
        <v>38</v>
      </c>
      <c r="B84" s="143"/>
      <c r="C84" s="143"/>
      <c r="D84" s="143"/>
      <c r="E84" s="143"/>
      <c r="F84" s="147"/>
      <c r="G84" s="148"/>
      <c r="H84" s="46">
        <v>1</v>
      </c>
      <c r="I84" s="146" t="s">
        <v>274</v>
      </c>
      <c r="J84" s="7"/>
      <c r="K84" s="7"/>
      <c r="L84" s="7"/>
    </row>
    <row r="85" spans="1:12" ht="12.75">
      <c r="A85" s="146" t="s">
        <v>39</v>
      </c>
      <c r="B85" s="143"/>
      <c r="C85" s="143"/>
      <c r="D85" s="143"/>
      <c r="E85" s="143"/>
      <c r="F85" s="147">
        <v>6.7</v>
      </c>
      <c r="G85" s="148">
        <f aca="true" t="shared" si="9" ref="G85:G100">$F85*0.76-0.23</f>
        <v>4.862</v>
      </c>
      <c r="H85" s="46">
        <f aca="true" t="shared" si="10" ref="H85:H100">10^(G85)</f>
        <v>72777.9804536825</v>
      </c>
      <c r="I85" s="143"/>
      <c r="J85" s="7"/>
      <c r="K85" s="7"/>
      <c r="L85" s="7"/>
    </row>
    <row r="86" spans="1:12" ht="12.75">
      <c r="A86" s="146" t="s">
        <v>41</v>
      </c>
      <c r="B86" s="143"/>
      <c r="C86" s="143"/>
      <c r="D86" s="143"/>
      <c r="E86" s="143"/>
      <c r="F86" s="147">
        <v>4.2</v>
      </c>
      <c r="G86" s="148">
        <f t="shared" si="9"/>
        <v>2.962</v>
      </c>
      <c r="H86" s="46">
        <f t="shared" si="10"/>
        <v>916.2204901220003</v>
      </c>
      <c r="I86" s="143"/>
      <c r="J86" s="7"/>
      <c r="K86" s="7"/>
      <c r="L86" s="7"/>
    </row>
    <row r="87" spans="1:12" ht="12.75">
      <c r="A87" s="146" t="s">
        <v>42</v>
      </c>
      <c r="B87" s="143"/>
      <c r="C87" s="143"/>
      <c r="D87" s="143"/>
      <c r="E87" s="143"/>
      <c r="F87" s="147">
        <v>2.3</v>
      </c>
      <c r="G87" s="148">
        <f t="shared" si="9"/>
        <v>1.5179999999999998</v>
      </c>
      <c r="H87" s="46">
        <f t="shared" si="10"/>
        <v>32.96097121774578</v>
      </c>
      <c r="I87" s="143"/>
      <c r="J87" s="7"/>
      <c r="K87" s="7"/>
      <c r="L87" s="7"/>
    </row>
    <row r="88" spans="1:12" ht="12.75">
      <c r="A88" s="146" t="s">
        <v>282</v>
      </c>
      <c r="B88" s="143"/>
      <c r="C88" s="143"/>
      <c r="D88" s="143"/>
      <c r="E88" s="149"/>
      <c r="F88" s="147">
        <v>1.8</v>
      </c>
      <c r="G88" s="148">
        <f t="shared" si="9"/>
        <v>1.1380000000000001</v>
      </c>
      <c r="H88" s="46">
        <f t="shared" si="10"/>
        <v>13.74041975012516</v>
      </c>
      <c r="I88" s="143"/>
      <c r="J88" s="7"/>
      <c r="K88" s="7"/>
      <c r="L88" s="7"/>
    </row>
    <row r="89" spans="1:12" ht="12.75">
      <c r="A89" s="146" t="s">
        <v>283</v>
      </c>
      <c r="B89" s="143"/>
      <c r="C89" s="143"/>
      <c r="D89" s="143"/>
      <c r="E89" s="149"/>
      <c r="F89" s="147">
        <v>1.9</v>
      </c>
      <c r="G89" s="148">
        <f t="shared" si="9"/>
        <v>1.214</v>
      </c>
      <c r="H89" s="46">
        <f t="shared" si="10"/>
        <v>16.36816521427809</v>
      </c>
      <c r="I89" s="143"/>
      <c r="J89" s="7"/>
      <c r="K89" s="7"/>
      <c r="L89" s="7"/>
    </row>
    <row r="90" spans="1:12" ht="12.75">
      <c r="A90" s="146" t="s">
        <v>284</v>
      </c>
      <c r="B90" s="143"/>
      <c r="C90" s="143"/>
      <c r="D90" s="143"/>
      <c r="E90" s="149"/>
      <c r="F90" s="147">
        <v>2.1</v>
      </c>
      <c r="G90" s="148">
        <f t="shared" si="9"/>
        <v>1.366</v>
      </c>
      <c r="H90" s="46">
        <f t="shared" si="10"/>
        <v>23.22736796357108</v>
      </c>
      <c r="I90" s="143"/>
      <c r="J90" s="7"/>
      <c r="K90" s="7"/>
      <c r="L90" s="7"/>
    </row>
    <row r="91" spans="1:12" ht="12.75">
      <c r="A91" s="146" t="s">
        <v>285</v>
      </c>
      <c r="B91" s="143"/>
      <c r="C91" s="143"/>
      <c r="D91" s="143"/>
      <c r="E91" s="149"/>
      <c r="F91" s="147">
        <v>2</v>
      </c>
      <c r="G91" s="148">
        <f t="shared" si="9"/>
        <v>1.29</v>
      </c>
      <c r="H91" s="46">
        <f t="shared" si="10"/>
        <v>19.498445997580465</v>
      </c>
      <c r="I91" s="143"/>
      <c r="J91" s="7"/>
      <c r="K91" s="7"/>
      <c r="L91" s="7"/>
    </row>
    <row r="92" spans="1:12" ht="12.75">
      <c r="A92" s="146" t="s">
        <v>286</v>
      </c>
      <c r="B92" s="143"/>
      <c r="C92" s="143"/>
      <c r="D92" s="143"/>
      <c r="E92" s="149"/>
      <c r="F92" s="147">
        <v>1.5</v>
      </c>
      <c r="G92" s="148">
        <f t="shared" si="9"/>
        <v>0.9100000000000001</v>
      </c>
      <c r="H92" s="46">
        <f t="shared" si="10"/>
        <v>8.128305161640998</v>
      </c>
      <c r="I92" s="143"/>
      <c r="J92" s="7"/>
      <c r="K92" s="7"/>
      <c r="L92" s="7"/>
    </row>
    <row r="93" spans="1:12" ht="12.75">
      <c r="A93" s="146" t="s">
        <v>287</v>
      </c>
      <c r="B93" s="143"/>
      <c r="C93" s="143"/>
      <c r="D93" s="143"/>
      <c r="E93" s="149"/>
      <c r="F93" s="147">
        <v>1.6</v>
      </c>
      <c r="G93" s="148">
        <f t="shared" si="9"/>
        <v>0.9860000000000002</v>
      </c>
      <c r="H93" s="46">
        <f t="shared" si="10"/>
        <v>9.682778562612498</v>
      </c>
      <c r="I93" s="143"/>
      <c r="J93" s="7"/>
      <c r="K93" s="7"/>
      <c r="L93" s="7"/>
    </row>
    <row r="94" spans="1:12" ht="12.75">
      <c r="A94" s="146" t="s">
        <v>288</v>
      </c>
      <c r="B94" s="143"/>
      <c r="C94" s="143"/>
      <c r="D94" s="143"/>
      <c r="E94" s="149"/>
      <c r="F94" s="147">
        <v>1.9</v>
      </c>
      <c r="G94" s="148">
        <f t="shared" si="9"/>
        <v>1.214</v>
      </c>
      <c r="H94" s="46">
        <f t="shared" si="10"/>
        <v>16.36816521427809</v>
      </c>
      <c r="I94" s="143"/>
      <c r="J94" s="7"/>
      <c r="K94" s="7"/>
      <c r="L94" s="7"/>
    </row>
    <row r="95" spans="1:12" ht="12.75">
      <c r="A95" s="146" t="s">
        <v>289</v>
      </c>
      <c r="B95" s="143"/>
      <c r="C95" s="143"/>
      <c r="D95" s="143"/>
      <c r="E95" s="149"/>
      <c r="F95" s="147">
        <v>2</v>
      </c>
      <c r="G95" s="148">
        <f t="shared" si="9"/>
        <v>1.29</v>
      </c>
      <c r="H95" s="46">
        <f t="shared" si="10"/>
        <v>19.498445997580465</v>
      </c>
      <c r="I95" s="143"/>
      <c r="J95" s="7"/>
      <c r="K95" s="7"/>
      <c r="L95" s="7"/>
    </row>
    <row r="96" spans="1:12" ht="12.75">
      <c r="A96" s="146" t="s">
        <v>43</v>
      </c>
      <c r="B96" s="143"/>
      <c r="C96" s="143"/>
      <c r="D96" s="143"/>
      <c r="E96" s="149"/>
      <c r="F96" s="147">
        <v>3.1</v>
      </c>
      <c r="G96" s="148">
        <f t="shared" si="9"/>
        <v>2.1260000000000003</v>
      </c>
      <c r="H96" s="46">
        <f t="shared" si="10"/>
        <v>133.65955165464433</v>
      </c>
      <c r="I96" s="143"/>
      <c r="J96" s="7"/>
      <c r="K96" s="7"/>
      <c r="L96" s="7"/>
    </row>
    <row r="97" spans="1:12" ht="12.75">
      <c r="A97" s="146" t="s">
        <v>290</v>
      </c>
      <c r="B97" s="143"/>
      <c r="C97" s="143"/>
      <c r="D97" s="143"/>
      <c r="E97" s="149"/>
      <c r="F97" s="147">
        <v>5.1</v>
      </c>
      <c r="G97" s="148">
        <f t="shared" si="9"/>
        <v>3.646</v>
      </c>
      <c r="H97" s="46">
        <f t="shared" si="10"/>
        <v>4425.883723626272</v>
      </c>
      <c r="I97" s="143"/>
      <c r="J97" s="7"/>
      <c r="K97" s="7"/>
      <c r="L97" s="7"/>
    </row>
    <row r="98" spans="1:12" ht="12.75">
      <c r="A98" s="146" t="s">
        <v>50</v>
      </c>
      <c r="B98" s="143"/>
      <c r="C98" s="143"/>
      <c r="D98" s="143"/>
      <c r="E98" s="149"/>
      <c r="F98" s="147">
        <v>5.4</v>
      </c>
      <c r="G98" s="148">
        <f t="shared" si="9"/>
        <v>3.874</v>
      </c>
      <c r="H98" s="46">
        <f t="shared" si="10"/>
        <v>7481.695005111554</v>
      </c>
      <c r="I98" s="143"/>
      <c r="J98" s="7"/>
      <c r="K98" s="7"/>
      <c r="L98" s="7"/>
    </row>
    <row r="99" spans="1:12" ht="12.75">
      <c r="A99" s="146" t="s">
        <v>51</v>
      </c>
      <c r="B99" s="143"/>
      <c r="C99" s="143"/>
      <c r="D99" s="143"/>
      <c r="E99" s="149"/>
      <c r="F99" s="147">
        <v>6.7</v>
      </c>
      <c r="G99" s="148">
        <f t="shared" si="9"/>
        <v>4.862</v>
      </c>
      <c r="H99" s="46">
        <f t="shared" si="10"/>
        <v>72777.9804536825</v>
      </c>
      <c r="I99" s="143"/>
      <c r="J99" s="7"/>
      <c r="K99" s="7"/>
      <c r="L99" s="7"/>
    </row>
    <row r="100" spans="1:12" ht="12.75">
      <c r="A100" s="146" t="s">
        <v>53</v>
      </c>
      <c r="B100" s="143"/>
      <c r="C100" s="143"/>
      <c r="D100" s="143"/>
      <c r="E100" s="149"/>
      <c r="F100" s="147">
        <v>0.75</v>
      </c>
      <c r="G100" s="148">
        <f t="shared" si="9"/>
        <v>0.3400000000000001</v>
      </c>
      <c r="H100" s="46">
        <f t="shared" si="10"/>
        <v>2.1877616239495534</v>
      </c>
      <c r="I100" s="143"/>
      <c r="J100" s="7"/>
      <c r="K100" s="7"/>
      <c r="L100" s="7"/>
    </row>
    <row r="101" spans="1:12" ht="12.75">
      <c r="A101" s="146" t="s">
        <v>57</v>
      </c>
      <c r="B101" s="143"/>
      <c r="C101" s="143"/>
      <c r="D101" s="143"/>
      <c r="E101" s="149"/>
      <c r="F101" s="147">
        <v>0.28</v>
      </c>
      <c r="G101" s="148">
        <f>$F101*0.76-0.23</f>
        <v>-0.017199999999999993</v>
      </c>
      <c r="H101" s="46">
        <f>10^(G101)</f>
        <v>0.961169541515931</v>
      </c>
      <c r="I101" s="143"/>
      <c r="J101" s="7"/>
      <c r="K101" s="7"/>
      <c r="L101" s="7"/>
    </row>
    <row r="102" spans="1:12" ht="12.75">
      <c r="A102" s="146" t="s">
        <v>59</v>
      </c>
      <c r="B102" s="143"/>
      <c r="C102" s="143"/>
      <c r="D102" s="143"/>
      <c r="E102" s="149"/>
      <c r="F102" s="147">
        <v>1.2</v>
      </c>
      <c r="G102" s="148">
        <f>$F102*0.76-0.23</f>
        <v>0.6819999999999999</v>
      </c>
      <c r="H102" s="46">
        <f>10^(G102)</f>
        <v>4.8083934844972855</v>
      </c>
      <c r="I102" s="143"/>
      <c r="J102" s="7"/>
      <c r="K102" s="7"/>
      <c r="L102" s="7"/>
    </row>
    <row r="103" spans="1:12" ht="12.75">
      <c r="A103" s="146" t="s">
        <v>291</v>
      </c>
      <c r="B103" s="143"/>
      <c r="C103" s="143"/>
      <c r="D103" s="143"/>
      <c r="E103" s="149"/>
      <c r="F103" s="147"/>
      <c r="G103" s="148"/>
      <c r="H103" s="46">
        <v>1</v>
      </c>
      <c r="I103" s="146" t="s">
        <v>274</v>
      </c>
      <c r="J103" s="7"/>
      <c r="K103" s="7"/>
      <c r="L103" s="7"/>
    </row>
    <row r="104" spans="1:12" ht="12.75">
      <c r="A104" s="146" t="s">
        <v>65</v>
      </c>
      <c r="B104" s="143"/>
      <c r="C104" s="143"/>
      <c r="D104" s="143"/>
      <c r="E104" s="149"/>
      <c r="F104" s="147"/>
      <c r="G104" s="148"/>
      <c r="H104" s="46">
        <v>1</v>
      </c>
      <c r="I104" s="146" t="s">
        <v>274</v>
      </c>
      <c r="J104" s="7"/>
      <c r="K104" s="7"/>
      <c r="L104" s="7"/>
    </row>
    <row r="105" spans="1:12" ht="12.75">
      <c r="A105" s="146" t="s">
        <v>66</v>
      </c>
      <c r="B105" s="143"/>
      <c r="C105" s="143"/>
      <c r="D105" s="143"/>
      <c r="E105" s="149"/>
      <c r="F105" s="147"/>
      <c r="G105" s="148"/>
      <c r="H105" s="46">
        <v>1</v>
      </c>
      <c r="I105" s="146" t="s">
        <v>274</v>
      </c>
      <c r="J105" s="7"/>
      <c r="K105" s="7"/>
      <c r="L105" s="7"/>
    </row>
    <row r="106" spans="1:12" ht="12.75">
      <c r="A106" s="146" t="s">
        <v>292</v>
      </c>
      <c r="B106" s="143"/>
      <c r="C106" s="143"/>
      <c r="D106" s="143"/>
      <c r="E106" s="149"/>
      <c r="F106" s="147">
        <v>1.9</v>
      </c>
      <c r="G106" s="148">
        <f aca="true" t="shared" si="11" ref="G106:G118">$F106*0.76-0.23</f>
        <v>1.214</v>
      </c>
      <c r="H106" s="46">
        <f aca="true" t="shared" si="12" ref="H106:H118">10^(G106)</f>
        <v>16.36816521427809</v>
      </c>
      <c r="I106" s="143"/>
      <c r="J106" s="7"/>
      <c r="K106" s="7"/>
      <c r="L106" s="7"/>
    </row>
    <row r="107" spans="1:12" ht="12.75">
      <c r="A107" s="146" t="s">
        <v>293</v>
      </c>
      <c r="B107" s="143"/>
      <c r="C107" s="143"/>
      <c r="D107" s="143"/>
      <c r="E107" s="149"/>
      <c r="F107" s="147">
        <v>1.4</v>
      </c>
      <c r="G107" s="148">
        <f t="shared" si="11"/>
        <v>0.8339999999999999</v>
      </c>
      <c r="H107" s="46">
        <f t="shared" si="12"/>
        <v>6.823386941416694</v>
      </c>
      <c r="I107" s="143"/>
      <c r="J107" s="7"/>
      <c r="K107" s="7"/>
      <c r="L107" s="7"/>
    </row>
    <row r="108" spans="1:12" ht="12.75">
      <c r="A108" s="146" t="s">
        <v>294</v>
      </c>
      <c r="B108" s="143"/>
      <c r="C108" s="143"/>
      <c r="D108" s="143"/>
      <c r="E108" s="149"/>
      <c r="F108" s="147">
        <v>1.4</v>
      </c>
      <c r="G108" s="148">
        <f t="shared" si="11"/>
        <v>0.8339999999999999</v>
      </c>
      <c r="H108" s="46">
        <f t="shared" si="12"/>
        <v>6.823386941416694</v>
      </c>
      <c r="I108" s="143"/>
      <c r="J108" s="7"/>
      <c r="K108" s="7"/>
      <c r="L108" s="7"/>
    </row>
    <row r="109" spans="1:12" ht="12.75">
      <c r="A109" s="146" t="s">
        <v>67</v>
      </c>
      <c r="B109" s="143"/>
      <c r="C109" s="143"/>
      <c r="D109" s="143"/>
      <c r="E109" s="149"/>
      <c r="F109" s="147">
        <v>1.8</v>
      </c>
      <c r="G109" s="148">
        <f t="shared" si="11"/>
        <v>1.1380000000000001</v>
      </c>
      <c r="H109" s="46">
        <f t="shared" si="12"/>
        <v>13.74041975012516</v>
      </c>
      <c r="I109" s="143"/>
      <c r="J109" s="7"/>
      <c r="K109" s="7"/>
      <c r="L109" s="7"/>
    </row>
    <row r="110" spans="1:12" ht="12.75">
      <c r="A110" s="146" t="s">
        <v>295</v>
      </c>
      <c r="B110" s="143"/>
      <c r="C110" s="143"/>
      <c r="D110" s="143"/>
      <c r="E110" s="149"/>
      <c r="F110" s="147">
        <v>1.9</v>
      </c>
      <c r="G110" s="148">
        <f t="shared" si="11"/>
        <v>1.214</v>
      </c>
      <c r="H110" s="46">
        <f t="shared" si="12"/>
        <v>16.36816521427809</v>
      </c>
      <c r="I110" s="143"/>
      <c r="J110" s="7"/>
      <c r="K110" s="7"/>
      <c r="L110" s="7"/>
    </row>
    <row r="111" spans="1:12" ht="12.75">
      <c r="A111" s="146" t="s">
        <v>296</v>
      </c>
      <c r="B111" s="143"/>
      <c r="C111" s="143"/>
      <c r="D111" s="143"/>
      <c r="E111" s="149"/>
      <c r="F111" s="147">
        <v>1.4</v>
      </c>
      <c r="G111" s="148">
        <f t="shared" si="11"/>
        <v>0.8339999999999999</v>
      </c>
      <c r="H111" s="46">
        <f t="shared" si="12"/>
        <v>6.823386941416694</v>
      </c>
      <c r="I111" s="143"/>
      <c r="J111" s="7"/>
      <c r="K111" s="7"/>
      <c r="L111" s="7"/>
    </row>
    <row r="112" spans="1:12" ht="12.75">
      <c r="A112" s="146" t="s">
        <v>69</v>
      </c>
      <c r="B112" s="143"/>
      <c r="C112" s="143"/>
      <c r="D112" s="143"/>
      <c r="E112" s="149"/>
      <c r="F112" s="147">
        <v>1.5</v>
      </c>
      <c r="G112" s="148">
        <f t="shared" si="11"/>
        <v>0.9100000000000001</v>
      </c>
      <c r="H112" s="46">
        <f t="shared" si="12"/>
        <v>8.128305161640998</v>
      </c>
      <c r="I112" s="146"/>
      <c r="J112" s="7"/>
      <c r="K112" s="7"/>
      <c r="L112" s="7"/>
    </row>
    <row r="113" spans="1:12" ht="12.75">
      <c r="A113" s="146" t="s">
        <v>73</v>
      </c>
      <c r="B113" s="143"/>
      <c r="C113" s="143"/>
      <c r="D113" s="143"/>
      <c r="E113" s="149"/>
      <c r="F113" s="147">
        <v>2.9</v>
      </c>
      <c r="G113" s="148">
        <f t="shared" si="11"/>
        <v>1.9739999999999998</v>
      </c>
      <c r="H113" s="46">
        <f t="shared" si="12"/>
        <v>94.18895965228414</v>
      </c>
      <c r="I113" s="143"/>
      <c r="J113" s="7"/>
      <c r="K113" s="7"/>
      <c r="L113" s="7"/>
    </row>
    <row r="114" spans="1:12" ht="12.75">
      <c r="A114" s="146" t="s">
        <v>74</v>
      </c>
      <c r="B114" s="143"/>
      <c r="C114" s="143"/>
      <c r="D114" s="143"/>
      <c r="E114" s="149"/>
      <c r="F114" s="147">
        <v>4.6</v>
      </c>
      <c r="G114" s="148">
        <f t="shared" si="11"/>
        <v>3.2659999999999996</v>
      </c>
      <c r="H114" s="46">
        <f t="shared" si="12"/>
        <v>1845.0154191794732</v>
      </c>
      <c r="I114" s="143"/>
      <c r="J114" s="7"/>
      <c r="K114" s="7"/>
      <c r="L114" s="7"/>
    </row>
    <row r="115" spans="1:12" ht="12.75">
      <c r="A115" s="146" t="s">
        <v>75</v>
      </c>
      <c r="B115" s="143"/>
      <c r="C115" s="143"/>
      <c r="D115" s="143"/>
      <c r="E115" s="149"/>
      <c r="F115" s="147">
        <v>2.6</v>
      </c>
      <c r="G115" s="148">
        <f t="shared" si="11"/>
        <v>1.7460000000000002</v>
      </c>
      <c r="H115" s="46">
        <f t="shared" si="12"/>
        <v>55.718574893193036</v>
      </c>
      <c r="I115" s="143"/>
      <c r="J115" s="7"/>
      <c r="K115" s="7"/>
      <c r="L115" s="7"/>
    </row>
    <row r="116" spans="1:12" ht="12.75">
      <c r="A116" s="146" t="s">
        <v>78</v>
      </c>
      <c r="B116" s="143"/>
      <c r="C116" s="143"/>
      <c r="D116" s="143"/>
      <c r="E116" s="149"/>
      <c r="F116" s="147">
        <v>2.5</v>
      </c>
      <c r="G116" s="148">
        <f t="shared" si="11"/>
        <v>1.67</v>
      </c>
      <c r="H116" s="46">
        <f t="shared" si="12"/>
        <v>46.77351412871982</v>
      </c>
      <c r="I116" s="143"/>
      <c r="J116" s="7"/>
      <c r="K116" s="7"/>
      <c r="L116" s="7"/>
    </row>
    <row r="117" spans="1:12" ht="12.75">
      <c r="A117" s="146" t="s">
        <v>297</v>
      </c>
      <c r="B117" s="143"/>
      <c r="C117" s="143"/>
      <c r="D117" s="143"/>
      <c r="E117" s="149"/>
      <c r="F117" s="147">
        <v>3.9</v>
      </c>
      <c r="G117" s="148">
        <f t="shared" si="11"/>
        <v>2.734</v>
      </c>
      <c r="H117" s="46">
        <f t="shared" si="12"/>
        <v>542.0008904016242</v>
      </c>
      <c r="I117" s="143"/>
      <c r="J117" s="7"/>
      <c r="K117" s="7"/>
      <c r="L117" s="7"/>
    </row>
    <row r="118" spans="1:12" ht="12.75">
      <c r="A118" s="146" t="s">
        <v>298</v>
      </c>
      <c r="B118" s="143"/>
      <c r="C118" s="143"/>
      <c r="D118" s="143"/>
      <c r="E118" s="149"/>
      <c r="F118" s="147">
        <v>3.7</v>
      </c>
      <c r="G118" s="148">
        <f t="shared" si="11"/>
        <v>2.5820000000000003</v>
      </c>
      <c r="H118" s="46">
        <f t="shared" si="12"/>
        <v>381.9442708400472</v>
      </c>
      <c r="I118" s="143"/>
      <c r="J118" s="7"/>
      <c r="K118" s="7"/>
      <c r="L118" s="7"/>
    </row>
    <row r="119" spans="1:12" ht="12.75">
      <c r="A119" s="146" t="s">
        <v>79</v>
      </c>
      <c r="B119" s="143"/>
      <c r="C119" s="143"/>
      <c r="D119" s="143"/>
      <c r="E119" s="149"/>
      <c r="F119" s="147"/>
      <c r="G119" s="148"/>
      <c r="H119" s="46">
        <v>1</v>
      </c>
      <c r="I119" s="146" t="s">
        <v>274</v>
      </c>
      <c r="J119" s="7"/>
      <c r="K119" s="7"/>
      <c r="L119" s="7"/>
    </row>
    <row r="120" spans="1:12" ht="12.75">
      <c r="A120" s="146" t="s">
        <v>299</v>
      </c>
      <c r="B120" s="143"/>
      <c r="C120" s="143"/>
      <c r="D120" s="143"/>
      <c r="E120" s="149"/>
      <c r="F120" s="147">
        <v>3.2</v>
      </c>
      <c r="G120" s="148">
        <f>$F120*0.76-0.23</f>
        <v>2.2020000000000004</v>
      </c>
      <c r="H120" s="46">
        <f>10^(G120)</f>
        <v>159.22087270511727</v>
      </c>
      <c r="I120" s="143"/>
      <c r="J120" s="7"/>
      <c r="K120" s="7"/>
      <c r="L120" s="7"/>
    </row>
    <row r="121" spans="1:12" ht="12.75">
      <c r="A121" s="146" t="str">
        <f aca="true" t="shared" si="13" ref="A121:A130">A34</f>
        <v>Aliphatics C6-C8</v>
      </c>
      <c r="B121" s="143"/>
      <c r="C121" s="143"/>
      <c r="D121" s="143"/>
      <c r="E121" s="149"/>
      <c r="F121" s="150"/>
      <c r="G121" s="26"/>
      <c r="H121" s="46">
        <v>0</v>
      </c>
      <c r="I121" s="151" t="s">
        <v>300</v>
      </c>
      <c r="J121" s="7"/>
      <c r="K121" s="7"/>
      <c r="L121" s="7"/>
    </row>
    <row r="122" spans="1:12" ht="12.75">
      <c r="A122" s="146" t="str">
        <f t="shared" si="13"/>
        <v>Aliphatics &gt;C8-C10</v>
      </c>
      <c r="B122" s="143"/>
      <c r="C122" s="143"/>
      <c r="D122" s="143"/>
      <c r="E122" s="149"/>
      <c r="F122" s="150"/>
      <c r="G122" s="26"/>
      <c r="H122" s="46">
        <v>0</v>
      </c>
      <c r="I122" s="151" t="s">
        <v>300</v>
      </c>
      <c r="J122" s="7"/>
      <c r="K122" s="7"/>
      <c r="L122" s="7"/>
    </row>
    <row r="123" spans="1:12" ht="12.75">
      <c r="A123" s="146" t="str">
        <f t="shared" si="13"/>
        <v>Aliphatics &gt;C10-C12</v>
      </c>
      <c r="B123" s="143"/>
      <c r="C123" s="143"/>
      <c r="D123" s="143"/>
      <c r="E123" s="149"/>
      <c r="F123" s="150"/>
      <c r="G123" s="26"/>
      <c r="H123" s="46">
        <v>0</v>
      </c>
      <c r="I123" s="151" t="s">
        <v>300</v>
      </c>
      <c r="J123" s="7"/>
      <c r="K123" s="7"/>
      <c r="L123" s="7"/>
    </row>
    <row r="124" spans="1:12" ht="12.75">
      <c r="A124" s="146" t="str">
        <f t="shared" si="13"/>
        <v>Aliphatics &gt;C12-C16</v>
      </c>
      <c r="B124" s="143"/>
      <c r="C124" s="143"/>
      <c r="D124" s="143"/>
      <c r="E124" s="149"/>
      <c r="F124" s="150"/>
      <c r="G124" s="26"/>
      <c r="H124" s="46">
        <v>0</v>
      </c>
      <c r="I124" s="151" t="s">
        <v>300</v>
      </c>
      <c r="J124" s="7"/>
      <c r="K124" s="7"/>
      <c r="L124" s="7"/>
    </row>
    <row r="125" spans="1:12" ht="12.75">
      <c r="A125" s="146" t="str">
        <f t="shared" si="13"/>
        <v>Aliphatics &gt;C16-C35</v>
      </c>
      <c r="B125" s="143"/>
      <c r="C125" s="143"/>
      <c r="D125" s="143"/>
      <c r="E125" s="149"/>
      <c r="F125" s="150"/>
      <c r="G125" s="26"/>
      <c r="H125" s="46">
        <v>0</v>
      </c>
      <c r="I125" s="151" t="s">
        <v>300</v>
      </c>
      <c r="J125" s="7"/>
      <c r="K125" s="7"/>
      <c r="L125" s="7"/>
    </row>
    <row r="126" spans="1:12" ht="12.75">
      <c r="A126" s="146" t="str">
        <f t="shared" si="13"/>
        <v>Aromatics &gt;C8-C10</v>
      </c>
      <c r="B126" s="143"/>
      <c r="C126" s="143"/>
      <c r="D126" s="143"/>
      <c r="E126" s="149"/>
      <c r="F126" s="150"/>
      <c r="G126" s="26"/>
      <c r="H126" s="46">
        <v>0</v>
      </c>
      <c r="I126" s="151" t="s">
        <v>300</v>
      </c>
      <c r="J126" s="7"/>
      <c r="K126" s="7"/>
      <c r="L126" s="7"/>
    </row>
    <row r="127" spans="1:12" ht="12.75">
      <c r="A127" s="146" t="str">
        <f t="shared" si="13"/>
        <v>Aromatics &gt;C10-C12</v>
      </c>
      <c r="B127" s="143"/>
      <c r="C127" s="143"/>
      <c r="D127" s="143"/>
      <c r="E127" s="149"/>
      <c r="F127" s="150"/>
      <c r="G127" s="26"/>
      <c r="H127" s="46">
        <v>0</v>
      </c>
      <c r="I127" s="151" t="s">
        <v>300</v>
      </c>
      <c r="J127" s="7"/>
      <c r="K127" s="7"/>
      <c r="L127" s="7"/>
    </row>
    <row r="128" spans="1:12" ht="12.75">
      <c r="A128" s="146" t="str">
        <f t="shared" si="13"/>
        <v>Aromatics &gt;C12-C16</v>
      </c>
      <c r="B128" s="143"/>
      <c r="C128" s="143"/>
      <c r="D128" s="143"/>
      <c r="E128" s="149"/>
      <c r="F128" s="150"/>
      <c r="G128" s="26"/>
      <c r="H128" s="46">
        <v>0</v>
      </c>
      <c r="I128" s="151" t="s">
        <v>300</v>
      </c>
      <c r="J128" s="7"/>
      <c r="K128" s="7"/>
      <c r="L128" s="7"/>
    </row>
    <row r="129" spans="1:12" ht="12.75">
      <c r="A129" s="146" t="str">
        <f t="shared" si="13"/>
        <v>Aromatics &gt;C16-C21</v>
      </c>
      <c r="B129" s="143"/>
      <c r="C129" s="143"/>
      <c r="D129" s="143"/>
      <c r="E129" s="149"/>
      <c r="F129" s="150"/>
      <c r="G129" s="26"/>
      <c r="H129" s="46">
        <v>0</v>
      </c>
      <c r="I129" s="151" t="s">
        <v>300</v>
      </c>
      <c r="J129" s="7"/>
      <c r="K129" s="7"/>
      <c r="L129" s="7"/>
    </row>
    <row r="130" spans="1:12" ht="12.75">
      <c r="A130" s="146" t="str">
        <f t="shared" si="13"/>
        <v>Aromatics &gt;C21-C35</v>
      </c>
      <c r="B130" s="143"/>
      <c r="C130" s="143"/>
      <c r="D130" s="143"/>
      <c r="E130" s="149"/>
      <c r="F130" s="150"/>
      <c r="G130" s="26"/>
      <c r="H130" s="46">
        <v>0</v>
      </c>
      <c r="I130" s="151" t="s">
        <v>300</v>
      </c>
      <c r="J130" s="7"/>
      <c r="K130" s="7"/>
      <c r="L130" s="7"/>
    </row>
    <row r="131" spans="1:12" ht="12.75">
      <c r="A131" s="88" t="s">
        <v>264</v>
      </c>
      <c r="B131" s="7"/>
      <c r="C131" s="7"/>
      <c r="D131" s="7"/>
      <c r="E131" s="2"/>
      <c r="F131" s="2"/>
      <c r="G131" s="7"/>
      <c r="H131" s="7"/>
      <c r="I131" s="7"/>
      <c r="J131" s="7"/>
      <c r="K131" s="7"/>
      <c r="L131" s="7"/>
    </row>
    <row r="132" spans="1:12" ht="12.75">
      <c r="A132" s="88" t="s">
        <v>301</v>
      </c>
      <c r="B132" s="7"/>
      <c r="C132" s="7"/>
      <c r="D132" s="7"/>
      <c r="E132" s="2"/>
      <c r="F132" s="2"/>
      <c r="G132" s="2"/>
      <c r="H132" s="3"/>
      <c r="I132" s="7"/>
      <c r="J132" s="7"/>
      <c r="K132" s="7"/>
      <c r="L132" s="7"/>
    </row>
    <row r="133" spans="1:12" ht="12.75">
      <c r="A133" s="88" t="s">
        <v>302</v>
      </c>
      <c r="B133" s="7"/>
      <c r="C133" s="7"/>
      <c r="D133" s="7"/>
      <c r="E133" s="2"/>
      <c r="F133" s="2"/>
      <c r="G133" s="2"/>
      <c r="H133" s="3"/>
      <c r="I133" s="7"/>
      <c r="J133" s="7"/>
      <c r="K133" s="7"/>
      <c r="L133" s="7"/>
    </row>
    <row r="134" spans="1:12" ht="12.75">
      <c r="A134" s="88" t="s">
        <v>303</v>
      </c>
      <c r="B134" s="7"/>
      <c r="C134" s="7"/>
      <c r="D134" s="7"/>
      <c r="E134" s="2"/>
      <c r="F134" s="2"/>
      <c r="G134" s="2"/>
      <c r="H134" s="3"/>
      <c r="I134" s="7"/>
      <c r="J134" s="7"/>
      <c r="K134" s="7"/>
      <c r="L134" s="7"/>
    </row>
    <row r="135" spans="1:12" ht="12.75">
      <c r="A135" s="94" t="s">
        <v>304</v>
      </c>
      <c r="B135" s="7"/>
      <c r="C135" s="7"/>
      <c r="D135" s="7"/>
      <c r="E135" s="2"/>
      <c r="F135" s="2"/>
      <c r="G135" s="2"/>
      <c r="H135" s="3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2"/>
      <c r="F136" s="2"/>
      <c r="G136" s="2"/>
      <c r="H136" s="3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2"/>
      <c r="F137" s="2"/>
      <c r="G137" s="2"/>
      <c r="H137" s="3"/>
      <c r="I137" s="7"/>
      <c r="J137" s="7"/>
      <c r="K137" s="7"/>
      <c r="L137" s="7"/>
    </row>
    <row r="138" spans="1:12" ht="12.75">
      <c r="A138" s="88" t="s">
        <v>305</v>
      </c>
      <c r="B138" s="7"/>
      <c r="C138" s="7"/>
      <c r="D138" s="7"/>
      <c r="E138" s="2"/>
      <c r="F138" s="2"/>
      <c r="G138" s="2"/>
      <c r="H138" s="3"/>
      <c r="I138" s="7"/>
      <c r="J138" s="7"/>
      <c r="K138" s="7"/>
      <c r="L138" s="7"/>
    </row>
    <row r="139" spans="1:12" ht="12.75">
      <c r="A139" s="88" t="s">
        <v>306</v>
      </c>
      <c r="B139" s="7"/>
      <c r="C139" s="7"/>
      <c r="D139" s="7"/>
      <c r="E139" s="2"/>
      <c r="F139" s="2"/>
      <c r="G139" s="2"/>
      <c r="H139" s="3"/>
      <c r="I139" s="7"/>
      <c r="J139" s="7"/>
      <c r="K139" s="7"/>
      <c r="L139" s="7"/>
    </row>
    <row r="140" spans="1:12" ht="12.75">
      <c r="A140" s="88" t="s">
        <v>307</v>
      </c>
      <c r="B140" s="7"/>
      <c r="C140" s="7"/>
      <c r="D140" s="7"/>
      <c r="E140" s="2"/>
      <c r="F140" s="2"/>
      <c r="G140" s="2"/>
      <c r="H140" s="3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2"/>
      <c r="F141" s="2"/>
      <c r="G141" s="2"/>
      <c r="H141" s="3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2"/>
      <c r="F142" s="4"/>
      <c r="G142" s="4"/>
      <c r="H142" s="3"/>
      <c r="I142" s="7"/>
      <c r="J142" s="7"/>
      <c r="K142" s="7"/>
      <c r="L142" s="7"/>
    </row>
    <row r="143" spans="1:12" ht="12.75">
      <c r="A143" s="88"/>
      <c r="B143" s="7"/>
      <c r="C143" s="7"/>
      <c r="D143" s="7"/>
      <c r="E143" s="7"/>
      <c r="F143" s="95"/>
      <c r="G143" s="5"/>
      <c r="H143" s="3"/>
      <c r="I143" s="7"/>
      <c r="J143" s="7"/>
      <c r="K143" s="7"/>
      <c r="L143" s="7"/>
    </row>
    <row r="144" spans="1:12" ht="12.75">
      <c r="A144" s="88"/>
      <c r="B144" s="7"/>
      <c r="C144" s="7"/>
      <c r="D144" s="7"/>
      <c r="E144" s="7"/>
      <c r="F144" s="95"/>
      <c r="G144" s="5"/>
      <c r="H144" s="3"/>
      <c r="I144" s="7"/>
      <c r="J144" s="7"/>
      <c r="K144" s="7"/>
      <c r="L144" s="7"/>
    </row>
    <row r="145" spans="1:12" ht="12.75">
      <c r="A145" s="88"/>
      <c r="B145" s="7"/>
      <c r="C145" s="7"/>
      <c r="D145" s="7"/>
      <c r="E145" s="7"/>
      <c r="F145" s="95"/>
      <c r="G145" s="5"/>
      <c r="H145" s="3"/>
      <c r="I145" s="7"/>
      <c r="J145" s="7"/>
      <c r="K145" s="7"/>
      <c r="L145" s="7"/>
    </row>
    <row r="146" spans="1:12" ht="12.75">
      <c r="A146" s="102" t="str">
        <f>'SF&amp;RfD'!A55</f>
        <v>ADDITIONAL COMPOUNDS</v>
      </c>
      <c r="J146" s="7"/>
      <c r="K146" s="7"/>
      <c r="L146" s="7"/>
    </row>
    <row r="147" spans="1:12" ht="12.75">
      <c r="A147" s="16" t="str">
        <f>'SF&amp;RfD'!A56</f>
        <v>ORGANIC COUMPOUNDS</v>
      </c>
      <c r="B147" s="13"/>
      <c r="C147" s="13"/>
      <c r="D147" s="13"/>
      <c r="E147" s="13"/>
      <c r="F147" s="13"/>
      <c r="G147" s="13"/>
      <c r="H147" s="13"/>
      <c r="I147" s="13"/>
      <c r="J147" s="7"/>
      <c r="K147" s="7"/>
      <c r="L147" s="7"/>
    </row>
    <row r="148" spans="1:12" ht="12.75">
      <c r="A148" s="16" t="str">
        <f>'SF&amp;RfD'!A57</f>
        <v>Benzene</v>
      </c>
      <c r="B148" s="17">
        <v>0.0125</v>
      </c>
      <c r="C148" s="17">
        <v>0.0011</v>
      </c>
      <c r="D148" s="17">
        <v>0.005</v>
      </c>
      <c r="E148" s="17"/>
      <c r="F148" s="20">
        <f>(TR*BWa)/('SF&amp;RfD'!C57*(IRWndw+E148*IRF))</f>
        <v>0.027121270825261525</v>
      </c>
      <c r="G148" s="20">
        <f>(THQ*'SF&amp;RfD'!G57*BWa)/(IRWndw+E148*IRF)</f>
        <v>2.359550561797753</v>
      </c>
      <c r="H148" s="18">
        <f aca="true" t="shared" si="14" ref="H148:H153">IF(B148,B148,+MAX(C148,D148,(+MIN(F148,G148))))</f>
        <v>0.0125</v>
      </c>
      <c r="I148" s="23" t="str">
        <f aca="true" t="shared" si="15" ref="I148:I153">+IF(H148=B148,"(*1)LAC(NDW)",IF(H148=C148,"LAC(DW)",IF(H148=D148,"MCL",IF(H148=F148,"(*2)C",IF(H148=G148,"(*2)N","?")))))</f>
        <v>(*1)LAC(NDW)</v>
      </c>
      <c r="J148" s="7"/>
      <c r="K148" s="7"/>
      <c r="L148" s="7"/>
    </row>
    <row r="149" spans="1:12" ht="12.75">
      <c r="A149" s="16" t="str">
        <f>'SF&amp;RfD'!A58</f>
        <v>Benzene</v>
      </c>
      <c r="B149" s="17">
        <v>0.0125</v>
      </c>
      <c r="C149" s="17">
        <v>0.0011</v>
      </c>
      <c r="D149" s="17">
        <v>0.005</v>
      </c>
      <c r="E149" s="17"/>
      <c r="F149" s="20">
        <f>(TR*BWa)/('SF&amp;RfD'!C58*(IRWndw+E149*IRF))</f>
        <v>0.027121270825261525</v>
      </c>
      <c r="G149" s="20">
        <f>(THQ*'SF&amp;RfD'!G58*BWa)/(IRWndw+E149*IRF)</f>
        <v>2.359550561797753</v>
      </c>
      <c r="H149" s="18">
        <f t="shared" si="14"/>
        <v>0.0125</v>
      </c>
      <c r="I149" s="23" t="str">
        <f t="shared" si="15"/>
        <v>(*1)LAC(NDW)</v>
      </c>
      <c r="J149" s="7"/>
      <c r="K149" s="7"/>
      <c r="L149" s="7"/>
    </row>
    <row r="150" spans="1:12" ht="12.75">
      <c r="A150" s="16" t="str">
        <f>'SF&amp;RfD'!A59</f>
        <v>Benzene</v>
      </c>
      <c r="B150" s="17"/>
      <c r="C150" s="17"/>
      <c r="D150" s="17"/>
      <c r="E150" s="17"/>
      <c r="F150" s="20">
        <f>(TR*BWa)/('SF&amp;RfD'!C59*(IRWndw+E150*IRF))</f>
        <v>0.027121270825261525</v>
      </c>
      <c r="G150" s="20">
        <f>(THQ*'SF&amp;RfD'!G59*BWa)/(IRWndw+E150*IRF)</f>
        <v>2.359550561797753</v>
      </c>
      <c r="H150" s="18">
        <f t="shared" si="14"/>
        <v>0.027121270825261525</v>
      </c>
      <c r="I150" s="23" t="str">
        <f t="shared" si="15"/>
        <v>(*2)C</v>
      </c>
      <c r="J150" s="7"/>
      <c r="K150" s="7"/>
      <c r="L150" s="7"/>
    </row>
    <row r="151" spans="1:12" ht="12.75">
      <c r="A151" s="16" t="str">
        <f>'SF&amp;RfD'!A60</f>
        <v>Benzene</v>
      </c>
      <c r="B151" s="17"/>
      <c r="C151" s="17"/>
      <c r="D151" s="17"/>
      <c r="E151" s="17"/>
      <c r="F151" s="20">
        <f>(TR*BWa)/('SF&amp;RfD'!C60*(IRWndw+E151*IRF))</f>
        <v>0.027121270825261525</v>
      </c>
      <c r="G151" s="20">
        <f>(THQ*'SF&amp;RfD'!G60*BWa)/(IRWndw+E151*IRF)</f>
        <v>2.359550561797753</v>
      </c>
      <c r="H151" s="18">
        <f t="shared" si="14"/>
        <v>0.027121270825261525</v>
      </c>
      <c r="I151" s="23" t="str">
        <f t="shared" si="15"/>
        <v>(*2)C</v>
      </c>
      <c r="J151" s="7"/>
      <c r="K151" s="7"/>
      <c r="L151" s="7"/>
    </row>
    <row r="152" spans="1:12" ht="12.75">
      <c r="A152" s="16" t="str">
        <f>'SF&amp;RfD'!A61</f>
        <v>Benzene</v>
      </c>
      <c r="B152" s="17"/>
      <c r="C152" s="17"/>
      <c r="D152" s="17"/>
      <c r="E152" s="17"/>
      <c r="F152" s="20">
        <f>(TR*BWa)/('SF&amp;RfD'!C61*(IRWndw+E152*IRF))</f>
        <v>0.027121270825261525</v>
      </c>
      <c r="G152" s="20">
        <f>(THQ*'SF&amp;RfD'!G61*BWa)/(IRWndw+E152*IRF)</f>
        <v>2.359550561797753</v>
      </c>
      <c r="H152" s="18">
        <f t="shared" si="14"/>
        <v>0.027121270825261525</v>
      </c>
      <c r="I152" s="23" t="str">
        <f t="shared" si="15"/>
        <v>(*2)C</v>
      </c>
      <c r="J152" s="7"/>
      <c r="K152" s="7"/>
      <c r="L152" s="7"/>
    </row>
    <row r="153" spans="1:12" ht="12.75">
      <c r="A153" s="16" t="str">
        <f>'SF&amp;RfD'!A62</f>
        <v>Benzene</v>
      </c>
      <c r="B153" s="17"/>
      <c r="C153" s="17"/>
      <c r="D153" s="17"/>
      <c r="E153" s="17"/>
      <c r="F153" s="20">
        <f>(TR*BWa)/('SF&amp;RfD'!C62*(IRWndw+E153*IRF))</f>
        <v>0.027121270825261525</v>
      </c>
      <c r="G153" s="20">
        <f>(THQ*'SF&amp;RfD'!G62*BWa)/(IRWndw+E153*IRF)</f>
        <v>2.359550561797753</v>
      </c>
      <c r="H153" s="18">
        <f t="shared" si="14"/>
        <v>0.027121270825261525</v>
      </c>
      <c r="I153" s="23" t="str">
        <f t="shared" si="15"/>
        <v>(*2)C</v>
      </c>
      <c r="J153" s="7"/>
      <c r="K153" s="7"/>
      <c r="L153" s="7"/>
    </row>
    <row r="154" spans="1:12" ht="12.75">
      <c r="A154" s="16" t="str">
        <f>'SF&amp;RfD'!A63</f>
        <v>Formaldehyde</v>
      </c>
      <c r="B154" s="17"/>
      <c r="C154" s="17"/>
      <c r="D154" s="17"/>
      <c r="E154" s="17">
        <v>0.5395</v>
      </c>
      <c r="F154" s="20">
        <f>(TR*BWa)/('SF&amp;RfD'!C63*(IRWndw+E154*IRF))</f>
        <v>0.015249415076007444</v>
      </c>
      <c r="G154" s="20">
        <f>(THQ*'SF&amp;RfD'!G63*BWa)/(IRWndw+E154*IRF)</f>
        <v>140.29461869926848</v>
      </c>
      <c r="H154" s="18">
        <f>IF(B154,B154,+MAX(C154,D154,(+MIN(F154,G154))))</f>
        <v>0.015249415076007444</v>
      </c>
      <c r="I154" s="23" t="str">
        <f>+IF(H154=B154,"(*1)LAC(NDW)",IF(H154=C154,"LAC(DW)",IF(H154=D154,"MCL",IF(H154=F154,"(*2)C",IF(H154=G154,"(*2)N","?")))))</f>
        <v>(*2)C</v>
      </c>
      <c r="J154" s="7"/>
      <c r="K154" s="7"/>
      <c r="L154" s="7"/>
    </row>
    <row r="155" spans="1:12" ht="12.75">
      <c r="A155" s="13"/>
      <c r="B155" s="13"/>
      <c r="C155" s="13"/>
      <c r="D155" s="13"/>
      <c r="E155" s="13"/>
      <c r="F155" s="13"/>
      <c r="G155" s="13"/>
      <c r="H155" s="13"/>
      <c r="I155" s="13"/>
      <c r="J155" s="7"/>
      <c r="K155" s="7"/>
      <c r="L155" s="7"/>
    </row>
    <row r="156" spans="1:12" ht="12.75">
      <c r="A156" s="13"/>
      <c r="B156" s="13"/>
      <c r="C156" s="13"/>
      <c r="D156" s="13"/>
      <c r="E156" s="13"/>
      <c r="F156" s="13"/>
      <c r="G156" s="13"/>
      <c r="H156" s="13"/>
      <c r="I156" s="13"/>
      <c r="J156" s="7"/>
      <c r="K156" s="7"/>
      <c r="L156" s="7"/>
    </row>
    <row r="157" spans="1:12" ht="12.75">
      <c r="A157" s="16" t="str">
        <f>'SF&amp;RfD'!A66</f>
        <v>INORGANIC COMPOUNDS</v>
      </c>
      <c r="B157" s="13"/>
      <c r="C157" s="13"/>
      <c r="D157" s="13"/>
      <c r="E157" s="13"/>
      <c r="F157" s="13"/>
      <c r="G157" s="13"/>
      <c r="H157" s="13"/>
      <c r="I157" s="13"/>
      <c r="J157" s="7"/>
      <c r="K157" s="7"/>
      <c r="L157" s="7"/>
    </row>
    <row r="158" spans="1:12" ht="12.75">
      <c r="A158" s="16" t="str">
        <f>'SF&amp;RfD'!A67</f>
        <v>Antimony</v>
      </c>
      <c r="B158" s="17"/>
      <c r="C158" s="17"/>
      <c r="D158" s="17"/>
      <c r="E158" s="17"/>
      <c r="F158" s="20" t="e">
        <f>(TR*BWa)/('SF&amp;RfD'!C67*(IRWndw+E158*IRF))</f>
        <v>#VALUE!</v>
      </c>
      <c r="G158" s="20">
        <f>(THQ*'SF&amp;RfD'!G67*BWa)/(IRWndw+E158*IRF)</f>
        <v>0.31460674157303375</v>
      </c>
      <c r="H158" s="18" t="e">
        <f>IF(B158,B158,+MAX(C158,D158,(+MIN(F158,G158))))</f>
        <v>#VALUE!</v>
      </c>
      <c r="I158" s="23" t="e">
        <f>+IF(H158=B158,"(*1)LAC(NDW)",IF(H158=C158,"LAC(DW)",IF(H158=D158,"MCL",IF(H158=F158,"(*2)C",IF(H158=G158,"(*2)N","?")))))</f>
        <v>#VALUE!</v>
      </c>
      <c r="J158" s="7"/>
      <c r="K158" s="7"/>
      <c r="L158" s="7"/>
    </row>
    <row r="159" spans="1:12" ht="12.75">
      <c r="A159" s="16" t="str">
        <f>'SF&amp;RfD'!A68</f>
        <v>Antimony</v>
      </c>
      <c r="B159" s="17"/>
      <c r="C159" s="17"/>
      <c r="D159" s="17"/>
      <c r="E159" s="17"/>
      <c r="F159" s="20" t="e">
        <f>(TR*BWa)/('SF&amp;RfD'!C68*(IRWndw+E159*IRF))</f>
        <v>#VALUE!</v>
      </c>
      <c r="G159" s="20">
        <f>(THQ*'SF&amp;RfD'!G68*BWa)/(IRWndw+E159*IRF)</f>
        <v>0.31460674157303375</v>
      </c>
      <c r="H159" s="18" t="e">
        <f>IF(B159,B159,+MAX(C159,D159,(+MIN(F159,G159))))</f>
        <v>#VALUE!</v>
      </c>
      <c r="I159" s="23" t="e">
        <f>+IF(H159=B159,"(*1)LAC(NDW)",IF(H159=C159,"LAC(DW)",IF(H159=D159,"MCL",IF(H159=F159,"(*2)C",IF(H159=G159,"(*2)N","?")))))</f>
        <v>#VALUE!</v>
      </c>
      <c r="J159" s="7"/>
      <c r="K159" s="7"/>
      <c r="L159" s="7"/>
    </row>
    <row r="160" spans="1:12" ht="12.75">
      <c r="A160" s="16" t="str">
        <f>'SF&amp;RfD'!A69</f>
        <v>Antimony</v>
      </c>
      <c r="B160" s="17"/>
      <c r="C160" s="17"/>
      <c r="D160" s="17"/>
      <c r="E160" s="17"/>
      <c r="F160" s="20" t="e">
        <f>(TR*BWa)/('SF&amp;RfD'!C69*(IRWndw+E160*IRF))</f>
        <v>#VALUE!</v>
      </c>
      <c r="G160" s="20">
        <f>(THQ*'SF&amp;RfD'!G69*BWa)/(IRWndw+E160*IRF)</f>
        <v>0.31460674157303375</v>
      </c>
      <c r="H160" s="18" t="e">
        <f>IF(B160,B160,+MAX(C160,D160,(+MIN(F160,G160))))</f>
        <v>#VALUE!</v>
      </c>
      <c r="I160" s="23" t="e">
        <f>+IF(H160=B160,"(*1)LAC(NDW)",IF(H160=C160,"LAC(DW)",IF(H160=D160,"MCL",IF(H160=F160,"(*2)C",IF(H160=G160,"(*2)N","?")))))</f>
        <v>#VALUE!</v>
      </c>
      <c r="J160" s="7"/>
      <c r="K160" s="7"/>
      <c r="L160" s="7"/>
    </row>
    <row r="161" spans="10:12" ht="12.75">
      <c r="J161" s="7"/>
      <c r="K161" s="7"/>
      <c r="L161" s="7"/>
    </row>
    <row r="162" spans="10:12" ht="12.75">
      <c r="J162" s="7"/>
      <c r="K162" s="7"/>
      <c r="L162" s="7"/>
    </row>
    <row r="163" spans="10:12" ht="12.75">
      <c r="J163" s="7"/>
      <c r="K163" s="7"/>
      <c r="L163" s="7"/>
    </row>
    <row r="164" spans="10:12" ht="12.75">
      <c r="J164" s="7"/>
      <c r="K164" s="7"/>
      <c r="L164" s="7"/>
    </row>
    <row r="165" spans="10:12" ht="12.75">
      <c r="J165" s="7"/>
      <c r="K165" s="7"/>
      <c r="L165" s="7"/>
    </row>
    <row r="166" ht="12.75">
      <c r="J166" s="25"/>
    </row>
    <row r="167" ht="12.75">
      <c r="J167" s="25"/>
    </row>
    <row r="168" ht="12.75">
      <c r="J168" s="25"/>
    </row>
    <row r="169" ht="12.75">
      <c r="J169" s="25"/>
    </row>
    <row r="170" ht="12.75">
      <c r="J170" s="25"/>
    </row>
    <row r="171" ht="12.75">
      <c r="J171" s="25"/>
    </row>
    <row r="172" ht="12.75">
      <c r="J172" s="25"/>
    </row>
    <row r="173" ht="12.75">
      <c r="J173" s="25"/>
    </row>
    <row r="174" ht="12.75">
      <c r="J174" s="25"/>
    </row>
    <row r="175" ht="12.75">
      <c r="J175" s="25"/>
    </row>
    <row r="299" spans="1:9" ht="12.75">
      <c r="A299" s="7"/>
      <c r="B299" s="7"/>
      <c r="C299" s="7"/>
      <c r="D299" s="7"/>
      <c r="E299" s="7"/>
      <c r="F299" s="7"/>
      <c r="G299" s="7"/>
      <c r="H299" s="7"/>
      <c r="I299" s="7"/>
    </row>
  </sheetData>
  <sheetProtection password="C596" sheet="1" objects="1" scenarios="1"/>
  <printOptions horizontalCentered="1"/>
  <pageMargins left="0.75" right="0.75" top="1.5" bottom="0.75" header="0.5" footer="0.5"/>
  <pageSetup horizontalDpi="300" verticalDpi="300" orientation="landscape" scale="97" r:id="rId3"/>
  <headerFooter alignWithMargins="0">
    <oddHeader>&amp;CLDEQ RECAP
WORKSHEET I2
GW 3NDW
(mg/l)</oddHeader>
    <oddFooter>&amp;CWI2 - &amp;P</oddFooter>
  </headerFooter>
  <rowBreaks count="4" manualBreakCount="4">
    <brk id="56" max="8" man="1"/>
    <brk id="125" max="8" man="1"/>
    <brk id="161" max="65535" man="1"/>
    <brk id="244" max="655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 calculations</dc:title>
  <dc:subject/>
  <dc:creator>Land Ban</dc:creator>
  <cp:keywords/>
  <dc:description/>
  <cp:lastModifiedBy>stephen_t</cp:lastModifiedBy>
  <cp:lastPrinted>2003-09-17T19:48:16Z</cp:lastPrinted>
  <dcterms:created xsi:type="dcterms:W3CDTF">1998-02-05T17:53:53Z</dcterms:created>
  <dcterms:modified xsi:type="dcterms:W3CDTF">2003-11-07T15:03:49Z</dcterms:modified>
  <cp:category/>
  <cp:version/>
  <cp:contentType/>
  <cp:contentStatus/>
</cp:coreProperties>
</file>